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donna.nicol/Downloads/"/>
    </mc:Choice>
  </mc:AlternateContent>
  <xr:revisionPtr revIDLastSave="0" documentId="13_ncr:1_{F24D86AB-65B1-7A44-9C99-EDC415E937F5}" xr6:coauthVersionLast="47" xr6:coauthVersionMax="47" xr10:uidLastSave="{00000000-0000-0000-0000-000000000000}"/>
  <bookViews>
    <workbookView xWindow="5900" yWindow="500" windowWidth="24740" windowHeight="21440" xr2:uid="{513B9600-8B58-4737-80D1-B25B787EC771}"/>
  </bookViews>
  <sheets>
    <sheet name="Image Spot Calculator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3" l="1"/>
  <c r="X34" i="3"/>
  <c r="X33" i="3" s="1"/>
  <c r="X32" i="3" s="1"/>
  <c r="X31" i="3" s="1"/>
  <c r="X30" i="3" s="1"/>
  <c r="X36" i="3"/>
  <c r="X37" i="3" s="1"/>
  <c r="X38" i="3" s="1"/>
  <c r="X39" i="3" s="1"/>
  <c r="X40" i="3" s="1"/>
  <c r="X60" i="3"/>
  <c r="X59" i="3" s="1"/>
  <c r="X58" i="3" s="1"/>
  <c r="X57" i="3" s="1"/>
  <c r="X56" i="3" s="1"/>
  <c r="X62" i="3"/>
  <c r="X63" i="3" s="1"/>
  <c r="X64" i="3" s="1"/>
  <c r="X65" i="3" s="1"/>
  <c r="X66" i="3" s="1"/>
  <c r="X86" i="3"/>
  <c r="X85" i="3" s="1"/>
  <c r="X84" i="3" s="1"/>
  <c r="X83" i="3" s="1"/>
  <c r="X82" i="3" s="1"/>
  <c r="X88" i="3"/>
  <c r="X89" i="3" s="1"/>
  <c r="X90" i="3" s="1"/>
  <c r="X91" i="3" s="1"/>
  <c r="X92" i="3" s="1"/>
  <c r="X114" i="3"/>
  <c r="X113" i="3" s="1"/>
  <c r="X112" i="3" s="1"/>
  <c r="X111" i="3" s="1"/>
  <c r="X116" i="3"/>
  <c r="X117" i="3" s="1"/>
  <c r="X118" i="3" s="1"/>
  <c r="X119" i="3" s="1"/>
  <c r="X120" i="3" s="1"/>
  <c r="X121" i="3" s="1"/>
  <c r="J126" i="3"/>
  <c r="Z126" i="3" s="1"/>
  <c r="J97" i="3"/>
  <c r="Q97" i="3" s="1"/>
  <c r="T97" i="3" s="1"/>
  <c r="J71" i="3"/>
  <c r="Z74" i="3" s="1"/>
  <c r="J45" i="3"/>
  <c r="Z45" i="3" s="1"/>
  <c r="E122" i="3"/>
  <c r="X122" i="3" s="1"/>
  <c r="Q121" i="3"/>
  <c r="AA121" i="3" s="1"/>
  <c r="Q120" i="3"/>
  <c r="AA120" i="3" s="1"/>
  <c r="Q119" i="3"/>
  <c r="AA119" i="3" s="1"/>
  <c r="Q118" i="3"/>
  <c r="AA118" i="3" s="1"/>
  <c r="Q117" i="3"/>
  <c r="AA117" i="3" s="1"/>
  <c r="Q116" i="3"/>
  <c r="AA116" i="3" s="1"/>
  <c r="Q115" i="3"/>
  <c r="AA115" i="3" s="1"/>
  <c r="Q114" i="3"/>
  <c r="AA114" i="3" s="1"/>
  <c r="Q113" i="3"/>
  <c r="AA113" i="3" s="1"/>
  <c r="Q112" i="3"/>
  <c r="AA112" i="3" s="1"/>
  <c r="Q111" i="3"/>
  <c r="AA111" i="3" s="1"/>
  <c r="AH110" i="3"/>
  <c r="Q110" i="3"/>
  <c r="AA110" i="3" s="1"/>
  <c r="AH109" i="3"/>
  <c r="Q109" i="3"/>
  <c r="AA109" i="3" s="1"/>
  <c r="AH108" i="3"/>
  <c r="Q108" i="3"/>
  <c r="AA108" i="3" s="1"/>
  <c r="AH107" i="3"/>
  <c r="Q107" i="3"/>
  <c r="AA107" i="3" s="1"/>
  <c r="H93" i="3"/>
  <c r="H94" i="3" s="1"/>
  <c r="AK92" i="3"/>
  <c r="Q92" i="3"/>
  <c r="AK91" i="3"/>
  <c r="Q91" i="3"/>
  <c r="AK90" i="3"/>
  <c r="Q90" i="3"/>
  <c r="AK89" i="3"/>
  <c r="Q89" i="3"/>
  <c r="AK88" i="3"/>
  <c r="Q88" i="3"/>
  <c r="AK87" i="3"/>
  <c r="Q87" i="3"/>
  <c r="AK86" i="3"/>
  <c r="Q86" i="3"/>
  <c r="AK85" i="3"/>
  <c r="Q85" i="3"/>
  <c r="AK84" i="3"/>
  <c r="Q84" i="3"/>
  <c r="AK83" i="3"/>
  <c r="Q83" i="3"/>
  <c r="AK82" i="3"/>
  <c r="Q82" i="3"/>
  <c r="H67" i="3"/>
  <c r="H68" i="3" s="1"/>
  <c r="H69" i="3" s="1"/>
  <c r="H65" i="3"/>
  <c r="H64" i="3" s="1"/>
  <c r="H63" i="3" s="1"/>
  <c r="H62" i="3" s="1"/>
  <c r="H61" i="3" s="1"/>
  <c r="H60" i="3" s="1"/>
  <c r="H59" i="3" s="1"/>
  <c r="H58" i="3" s="1"/>
  <c r="H57" i="3" s="1"/>
  <c r="H56" i="3" s="1"/>
  <c r="N44" i="3"/>
  <c r="N43" i="3"/>
  <c r="N42" i="3"/>
  <c r="N41" i="3"/>
  <c r="Z97" i="3" l="1"/>
  <c r="Z100" i="3"/>
  <c r="Z98" i="3" s="1"/>
  <c r="AJ97" i="3" s="1"/>
  <c r="AN97" i="3" s="1"/>
  <c r="Q126" i="3"/>
  <c r="T126" i="3" s="1"/>
  <c r="Z129" i="3"/>
  <c r="Z127" i="3" s="1"/>
  <c r="AJ129" i="3" s="1"/>
  <c r="AN129" i="3" s="1"/>
  <c r="Q71" i="3"/>
  <c r="T71" i="3" s="1"/>
  <c r="Z71" i="3"/>
  <c r="Z72" i="3" s="1"/>
  <c r="Q45" i="3"/>
  <c r="T45" i="3" s="1"/>
  <c r="Z48" i="3"/>
  <c r="Z46" i="3" s="1"/>
  <c r="AJ45" i="3" s="1"/>
  <c r="AN45" i="3" s="1"/>
  <c r="AK93" i="3"/>
  <c r="N67" i="3"/>
  <c r="X67" i="3" s="1"/>
  <c r="E123" i="3"/>
  <c r="X123" i="3" s="1"/>
  <c r="N122" i="3"/>
  <c r="Q122" i="3"/>
  <c r="AA122" i="3" s="1"/>
  <c r="Q94" i="3"/>
  <c r="H95" i="3"/>
  <c r="AK94" i="3"/>
  <c r="Q93" i="3"/>
  <c r="X93" i="3" s="1"/>
  <c r="N69" i="3"/>
  <c r="H70" i="3"/>
  <c r="N70" i="3" s="1"/>
  <c r="N68" i="3"/>
  <c r="X94" i="3" l="1"/>
  <c r="X68" i="3"/>
  <c r="X69" i="3" s="1"/>
  <c r="X70" i="3" s="1"/>
  <c r="AJ100" i="3"/>
  <c r="AN100" i="3" s="1"/>
  <c r="AJ126" i="3"/>
  <c r="AJ71" i="3"/>
  <c r="AJ74" i="3"/>
  <c r="AN74" i="3" s="1"/>
  <c r="AJ48" i="3"/>
  <c r="AN48" i="3" s="1"/>
  <c r="N123" i="3"/>
  <c r="E124" i="3"/>
  <c r="X124" i="3" s="1"/>
  <c r="Q123" i="3"/>
  <c r="AA123" i="3" s="1"/>
  <c r="AJ98" i="3"/>
  <c r="AN98" i="3" s="1"/>
  <c r="H96" i="3"/>
  <c r="AK95" i="3"/>
  <c r="Q95" i="3"/>
  <c r="AJ46" i="3"/>
  <c r="AN46" i="3" s="1"/>
  <c r="X95" i="3" l="1"/>
  <c r="AJ72" i="3"/>
  <c r="AN72" i="3" s="1"/>
  <c r="AN71" i="3"/>
  <c r="AJ127" i="3"/>
  <c r="AN126" i="3"/>
  <c r="AJ99" i="3"/>
  <c r="AN99" i="3" s="1"/>
  <c r="AJ47" i="3"/>
  <c r="AN47" i="3" s="1"/>
  <c r="N124" i="3"/>
  <c r="E125" i="3"/>
  <c r="X125" i="3" s="1"/>
  <c r="Q124" i="3"/>
  <c r="AA124" i="3" s="1"/>
  <c r="AK96" i="3"/>
  <c r="Q96" i="3"/>
  <c r="X96" i="3" l="1"/>
  <c r="AJ73" i="3"/>
  <c r="AN73" i="3" s="1"/>
  <c r="AJ128" i="3"/>
  <c r="AN128" i="3" s="1"/>
  <c r="AN127" i="3"/>
  <c r="Q125" i="3"/>
  <c r="AA125" i="3" s="1"/>
  <c r="N125" i="3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<sst xmlns="http://schemas.openxmlformats.org/spreadsheetml/2006/main" count="373" uniqueCount="53">
  <si>
    <t>Overview</t>
  </si>
  <si>
    <t>Instructions</t>
  </si>
  <si>
    <t>Notes</t>
  </si>
  <si>
    <t>• Tables are separated by Lens Optic Beam Angle (10, 19, 25, and 30 degrees).</t>
  </si>
  <si>
    <t>Input Meters (m)</t>
  </si>
  <si>
    <t>Input Feet (ft)</t>
  </si>
  <si>
    <t>m</t>
  </si>
  <si>
    <t>ft</t>
  </si>
  <si>
    <t>Input Throw Distance for Calculations</t>
  </si>
  <si>
    <t>10° LENS GEOMETRICAL X PHOTOMETRICAL MODEL</t>
  </si>
  <si>
    <t>10° Lens Photometric Model</t>
  </si>
  <si>
    <t>3m ILLUMINANCE FUNCTION OF FOCAL LENGHT + IMAGE FOCUS DISTANCE</t>
  </si>
  <si>
    <t>IS 55K V2.0</t>
  </si>
  <si>
    <t>IS 30K V2.0</t>
  </si>
  <si>
    <t>IS-HO 55K</t>
  </si>
  <si>
    <t>IS-HO 30K
Measure VS Fx</t>
  </si>
  <si>
    <t>LENS POSITION</t>
  </si>
  <si>
    <t>Taken from Front Body - Optical front ring</t>
  </si>
  <si>
    <t>mm</t>
  </si>
  <si>
    <t>D</t>
  </si>
  <si>
    <t>O =</t>
  </si>
  <si>
    <t>;</t>
  </si>
  <si>
    <t>f =</t>
  </si>
  <si>
    <t>D =</t>
  </si>
  <si>
    <t>Projection Diameter</t>
  </si>
  <si>
    <t>=</t>
  </si>
  <si>
    <t>/</t>
  </si>
  <si>
    <t xml:space="preserve">P1 = </t>
  </si>
  <si>
    <t>Image Spot 5500K</t>
  </si>
  <si>
    <t>E =</t>
  </si>
  <si>
    <t>lx</t>
  </si>
  <si>
    <t>fc</t>
  </si>
  <si>
    <t xml:space="preserve">Pf = </t>
  </si>
  <si>
    <t>Image Spot 3000K</t>
  </si>
  <si>
    <t>Image Spot HO 5500K</t>
  </si>
  <si>
    <t xml:space="preserve">P2 = </t>
  </si>
  <si>
    <t>Image Spot HO 3000K</t>
  </si>
  <si>
    <t>19° LENS GEOMETRICAL X PHOTOMETRICAL MODEL</t>
  </si>
  <si>
    <t>19° Lens Photometric Model</t>
  </si>
  <si>
    <t>25° LENS GEOMETRICAL X PHOTOMETRICAL MODEL</t>
  </si>
  <si>
    <t>25° Lens Photometric Model</t>
  </si>
  <si>
    <t>30° LENS SCAN</t>
  </si>
  <si>
    <t>30° LENS GEOMETRICAL X PHOTOMETRICAL MODEL</t>
  </si>
  <si>
    <t>30° Lens Photometric Model</t>
  </si>
  <si>
    <t>V2.0</t>
  </si>
  <si>
    <t>HO</t>
  </si>
  <si>
    <t>*Feet to Meters Conversion</t>
  </si>
  <si>
    <t>• Projection Diameters are the same for the Image Spot and Image Spot HO.</t>
  </si>
  <si>
    <t>2. Review tables below to determine fixture and lens combination to achieve your desired projection diameter and output.</t>
  </si>
  <si>
    <t>Calculates the projection diameter and target illuminance for Image Spot and Image Spot HO Projectors based on the throw distance the color temperature of the fixture.</t>
  </si>
  <si>
    <r>
      <t>Image Spot</t>
    </r>
    <r>
      <rPr>
        <vertAlign val="superscript"/>
        <sz val="24"/>
        <color theme="1"/>
        <rFont val="Lato"/>
        <family val="2"/>
      </rPr>
      <t>®</t>
    </r>
    <r>
      <rPr>
        <sz val="24"/>
        <color theme="1"/>
        <rFont val="Lato"/>
        <family val="2"/>
      </rPr>
      <t xml:space="preserve"> Photometrics Calculator</t>
    </r>
  </si>
  <si>
    <t xml:space="preserve">Target Illuminance </t>
  </si>
  <si>
    <r>
      <t xml:space="preserve">1. Insert throw distance in meters (m) into cell N23. </t>
    </r>
    <r>
      <rPr>
        <i/>
        <sz val="10"/>
        <color theme="1"/>
        <rFont val="Lato"/>
        <family val="2"/>
      </rPr>
      <t>Use the Feet to Meters Conversion calculator below if needed*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</si>
</sst>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Lato"/>
      <family val="2"/>
    </font>
    <font>
      <sz val="24"/>
      <color theme="1"/>
      <name val="Lato"/>
      <family val="2"/>
    </font>
    <font>
      <b/>
      <sz val="11"/>
      <color theme="1"/>
      <name val="Lato"/>
      <family val="2"/>
    </font>
    <font>
      <i/>
      <sz val="10"/>
      <color theme="1"/>
      <name val="Lato"/>
      <family val="2"/>
    </font>
    <font>
      <b/>
      <sz val="11"/>
      <color rgb="FF000000"/>
      <name val="Lato"/>
      <family val="2"/>
    </font>
    <font>
      <b/>
      <sz val="11"/>
      <name val="Lato"/>
      <family val="2"/>
    </font>
    <font>
      <vertAlign val="superscript"/>
      <sz val="24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164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1" fillId="0" borderId="0" xfId="0" applyFont="1"/>
    <xf numFmtId="2" fontId="1" fillId="0" borderId="0" xfId="0" applyNumberFormat="1" applyFont="1"/>
    <xf numFmtId="0" fontId="4" fillId="0" borderId="0" xfId="0" applyFont="1"/>
    <xf numFmtId="0" fontId="6" fillId="0" borderId="0" xfId="0" applyFont="1"/>
    <xf numFmtId="2" fontId="6" fillId="0" borderId="0" xfId="0" applyNumberFormat="1" applyFont="1"/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1" fontId="6" fillId="2" borderId="18" xfId="0" applyNumberFormat="1" applyFont="1" applyFill="1" applyBorder="1" applyAlignment="1" applyProtection="1">
      <alignment horizontal="center" vertical="center"/>
      <protection hidden="1"/>
    </xf>
    <xf numFmtId="1" fontId="6" fillId="2" borderId="2" xfId="0" applyNumberFormat="1" applyFont="1" applyFill="1" applyBorder="1" applyAlignment="1" applyProtection="1">
      <alignment vertical="center"/>
      <protection hidden="1"/>
    </xf>
    <xf numFmtId="1" fontId="6" fillId="2" borderId="2" xfId="0" applyNumberFormat="1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1" fontId="9" fillId="2" borderId="18" xfId="0" applyNumberFormat="1" applyFont="1" applyFill="1" applyBorder="1" applyAlignment="1" applyProtection="1">
      <alignment horizontal="center" vertical="center"/>
      <protection hidden="1"/>
    </xf>
    <xf numFmtId="1" fontId="4" fillId="2" borderId="2" xfId="0" applyNumberFormat="1" applyFont="1" applyFill="1" applyBorder="1" applyAlignment="1" applyProtection="1">
      <alignment horizontal="center" vertical="center"/>
      <protection hidden="1"/>
    </xf>
    <xf numFmtId="1" fontId="4" fillId="2" borderId="18" xfId="0" applyNumberFormat="1" applyFont="1" applyFill="1" applyBorder="1" applyAlignment="1" applyProtection="1">
      <alignment horizontal="center" vertical="center"/>
      <protection hidden="1"/>
    </xf>
    <xf numFmtId="1" fontId="6" fillId="2" borderId="22" xfId="0" applyNumberFormat="1" applyFont="1" applyFill="1" applyBorder="1" applyAlignment="1" applyProtection="1">
      <alignment horizontal="center" vertical="center"/>
      <protection hidden="1"/>
    </xf>
    <xf numFmtId="1" fontId="4" fillId="2" borderId="23" xfId="0" applyNumberFormat="1" applyFont="1" applyFill="1" applyBorder="1" applyAlignment="1" applyProtection="1">
      <alignment horizontal="left" vertical="center"/>
      <protection hidden="1"/>
    </xf>
    <xf numFmtId="1" fontId="4" fillId="2" borderId="23" xfId="0" applyNumberFormat="1" applyFont="1" applyFill="1" applyBorder="1" applyAlignment="1" applyProtection="1">
      <alignment horizontal="center" vertical="center"/>
      <protection hidden="1"/>
    </xf>
    <xf numFmtId="1" fontId="4" fillId="2" borderId="20" xfId="0" applyNumberFormat="1" applyFont="1" applyFill="1" applyBorder="1" applyAlignment="1" applyProtection="1">
      <alignment horizontal="left" vertical="center"/>
      <protection hidden="1"/>
    </xf>
    <xf numFmtId="1" fontId="4" fillId="2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1" fontId="9" fillId="2" borderId="2" xfId="0" applyNumberFormat="1" applyFont="1" applyFill="1" applyBorder="1" applyAlignment="1" applyProtection="1">
      <alignment horizontal="center" vertical="center"/>
      <protection hidden="1"/>
    </xf>
    <xf numFmtId="10" fontId="6" fillId="2" borderId="1" xfId="0" applyNumberFormat="1" applyFont="1" applyFill="1" applyBorder="1" applyAlignment="1" applyProtection="1">
      <alignment horizontal="center" vertical="center"/>
      <protection hidden="1"/>
    </xf>
    <xf numFmtId="10" fontId="6" fillId="2" borderId="2" xfId="0" applyNumberFormat="1" applyFont="1" applyFill="1" applyBorder="1" applyAlignment="1" applyProtection="1">
      <alignment horizontal="center" vertical="center"/>
      <protection hidden="1"/>
    </xf>
    <xf numFmtId="10" fontId="6" fillId="2" borderId="10" xfId="0" applyNumberFormat="1" applyFont="1" applyFill="1" applyBorder="1" applyAlignment="1" applyProtection="1">
      <alignment horizontal="center" vertical="center"/>
      <protection hidden="1"/>
    </xf>
    <xf numFmtId="1" fontId="4" fillId="2" borderId="20" xfId="0" applyNumberFormat="1" applyFont="1" applyFill="1" applyBorder="1" applyAlignment="1" applyProtection="1">
      <alignment horizontal="center" vertical="center"/>
      <protection hidden="1"/>
    </xf>
    <xf numFmtId="1" fontId="6" fillId="2" borderId="0" xfId="0" applyNumberFormat="1" applyFont="1" applyFill="1" applyAlignment="1" applyProtection="1">
      <alignment horizontal="center" vertical="center"/>
      <protection hidden="1"/>
    </xf>
    <xf numFmtId="1" fontId="6" fillId="2" borderId="0" xfId="0" applyNumberFormat="1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6" fillId="0" borderId="0" xfId="0" applyFont="1" applyProtection="1">
      <protection hidden="1"/>
    </xf>
    <xf numFmtId="0" fontId="4" fillId="0" borderId="0" xfId="0" quotePrefix="1" applyFont="1" applyAlignment="1" applyProtection="1">
      <alignment wrapText="1"/>
      <protection hidden="1"/>
    </xf>
    <xf numFmtId="0" fontId="4" fillId="0" borderId="34" xfId="0" applyFont="1" applyBorder="1" applyProtection="1">
      <protection hidden="1"/>
    </xf>
    <xf numFmtId="1" fontId="4" fillId="2" borderId="32" xfId="0" applyNumberFormat="1" applyFont="1" applyFill="1" applyBorder="1" applyAlignment="1" applyProtection="1">
      <alignment horizontal="left" vertical="center"/>
      <protection hidden="1"/>
    </xf>
    <xf numFmtId="1" fontId="4" fillId="2" borderId="6" xfId="0" applyNumberFormat="1" applyFont="1" applyFill="1" applyBorder="1" applyAlignment="1" applyProtection="1">
      <alignment horizontal="left" vertical="center"/>
      <protection hidden="1"/>
    </xf>
    <xf numFmtId="1" fontId="6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1" fontId="6" fillId="2" borderId="19" xfId="0" applyNumberFormat="1" applyFont="1" applyFill="1" applyBorder="1" applyAlignment="1" applyProtection="1">
      <alignment horizontal="center" vertical="center"/>
      <protection hidden="1"/>
    </xf>
    <xf numFmtId="1" fontId="6" fillId="2" borderId="18" xfId="0" applyNumberFormat="1" applyFont="1" applyFill="1" applyBorder="1" applyAlignment="1" applyProtection="1">
      <alignment horizontal="center" vertical="center"/>
      <protection hidden="1"/>
    </xf>
    <xf numFmtId="1" fontId="6" fillId="2" borderId="20" xfId="0" applyNumberFormat="1" applyFont="1" applyFill="1" applyBorder="1" applyAlignment="1" applyProtection="1">
      <alignment horizontal="center" vertical="center"/>
      <protection hidden="1"/>
    </xf>
    <xf numFmtId="1" fontId="9" fillId="2" borderId="19" xfId="0" applyNumberFormat="1" applyFont="1" applyFill="1" applyBorder="1" applyAlignment="1" applyProtection="1">
      <alignment horizontal="center" vertical="center"/>
      <protection hidden="1"/>
    </xf>
    <xf numFmtId="1" fontId="9" fillId="2" borderId="18" xfId="0" applyNumberFormat="1" applyFont="1" applyFill="1" applyBorder="1" applyAlignment="1" applyProtection="1">
      <alignment horizontal="center" vertical="center"/>
      <protection hidden="1"/>
    </xf>
    <xf numFmtId="1" fontId="9" fillId="2" borderId="20" xfId="0" applyNumberFormat="1" applyFont="1" applyFill="1" applyBorder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 applyProtection="1">
      <alignment horizontal="center" vertical="center"/>
      <protection hidden="1"/>
    </xf>
    <xf numFmtId="1" fontId="6" fillId="2" borderId="2" xfId="0" applyNumberFormat="1" applyFont="1" applyFill="1" applyBorder="1" applyAlignment="1" applyProtection="1">
      <alignment horizontal="center" vertical="center"/>
      <protection hidden="1"/>
    </xf>
    <xf numFmtId="1" fontId="6" fillId="2" borderId="10" xfId="0" applyNumberFormat="1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2" fontId="6" fillId="2" borderId="38" xfId="0" applyNumberFormat="1" applyFont="1" applyFill="1" applyBorder="1" applyAlignment="1" applyProtection="1">
      <alignment horizontal="center"/>
      <protection hidden="1"/>
    </xf>
    <xf numFmtId="2" fontId="6" fillId="2" borderId="39" xfId="0" applyNumberFormat="1" applyFont="1" applyFill="1" applyBorder="1" applyAlignment="1" applyProtection="1">
      <alignment horizontal="center"/>
      <protection hidden="1"/>
    </xf>
    <xf numFmtId="2" fontId="6" fillId="2" borderId="40" xfId="0" applyNumberFormat="1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textRotation="90" wrapText="1"/>
    </xf>
    <xf numFmtId="2" fontId="4" fillId="2" borderId="2" xfId="0" applyNumberFormat="1" applyFont="1" applyFill="1" applyBorder="1" applyAlignment="1" applyProtection="1">
      <alignment horizontal="center" vertical="center"/>
      <protection hidden="1"/>
    </xf>
    <xf numFmtId="2" fontId="4" fillId="2" borderId="6" xfId="0" applyNumberFormat="1" applyFont="1" applyFill="1" applyBorder="1" applyAlignment="1" applyProtection="1">
      <alignment horizontal="center" vertical="center"/>
      <protection hidden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left" vertical="center" wrapText="1"/>
      <protection hidden="1"/>
    </xf>
    <xf numFmtId="2" fontId="4" fillId="2" borderId="0" xfId="0" applyNumberFormat="1" applyFont="1" applyFill="1" applyAlignment="1" applyProtection="1">
      <alignment horizontal="left" vertical="center" wrapText="1"/>
      <protection hidden="1"/>
    </xf>
    <xf numFmtId="2" fontId="4" fillId="2" borderId="6" xfId="0" applyNumberFormat="1" applyFont="1" applyFill="1" applyBorder="1" applyAlignment="1" applyProtection="1">
      <alignment horizontal="left" vertical="center" wrapText="1"/>
      <protection hidden="1"/>
    </xf>
    <xf numFmtId="2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0" xfId="0" applyNumberFormat="1" applyFont="1" applyFill="1" applyAlignment="1" applyProtection="1">
      <alignment horizontal="center" vertical="center" wrapText="1"/>
      <protection hidden="1"/>
    </xf>
    <xf numFmtId="2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0" xfId="0" applyNumberFormat="1" applyFont="1" applyFill="1" applyAlignment="1" applyProtection="1">
      <alignment horizontal="center" vertical="center" wrapText="1"/>
      <protection hidden="1"/>
    </xf>
    <xf numFmtId="2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1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0" xfId="0" applyNumberFormat="1" applyFont="1" applyFill="1" applyAlignment="1" applyProtection="1">
      <alignment horizontal="center" vertical="center" wrapText="1"/>
      <protection hidden="1"/>
    </xf>
    <xf numFmtId="1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33" xfId="0" applyNumberFormat="1" applyFont="1" applyFill="1" applyBorder="1" applyAlignment="1" applyProtection="1">
      <alignment horizontal="center" vertical="center"/>
      <protection hidden="1"/>
    </xf>
    <xf numFmtId="1" fontId="4" fillId="2" borderId="31" xfId="0" applyNumberFormat="1" applyFont="1" applyFill="1" applyBorder="1" applyAlignment="1" applyProtection="1">
      <alignment horizontal="center" vertical="center"/>
      <protection hidden="1"/>
    </xf>
    <xf numFmtId="1" fontId="4" fillId="2" borderId="32" xfId="0" applyNumberFormat="1" applyFont="1" applyFill="1" applyBorder="1" applyAlignment="1" applyProtection="1">
      <alignment horizontal="center" vertical="center"/>
      <protection hidden="1"/>
    </xf>
    <xf numFmtId="1" fontId="4" fillId="2" borderId="2" xfId="0" applyNumberFormat="1" applyFont="1" applyFill="1" applyBorder="1" applyAlignment="1" applyProtection="1">
      <alignment horizontal="center" vertical="center"/>
      <protection hidden="1"/>
    </xf>
    <xf numFmtId="1" fontId="4" fillId="2" borderId="0" xfId="0" applyNumberFormat="1" applyFont="1" applyFill="1" applyAlignment="1" applyProtection="1">
      <alignment horizontal="center" vertical="center"/>
      <protection hidden="1"/>
    </xf>
    <xf numFmtId="1" fontId="4" fillId="2" borderId="6" xfId="0" applyNumberFormat="1" applyFont="1" applyFill="1" applyBorder="1" applyAlignment="1" applyProtection="1">
      <alignment horizontal="center" vertical="center"/>
      <protection hidden="1"/>
    </xf>
    <xf numFmtId="1" fontId="4" fillId="2" borderId="44" xfId="0" applyNumberFormat="1" applyFont="1" applyFill="1" applyBorder="1" applyAlignment="1" applyProtection="1">
      <alignment horizontal="left" vertical="center"/>
      <protection hidden="1"/>
    </xf>
    <xf numFmtId="1" fontId="4" fillId="2" borderId="18" xfId="0" applyNumberFormat="1" applyFont="1" applyFill="1" applyBorder="1" applyAlignment="1" applyProtection="1">
      <alignment horizontal="left" vertical="center"/>
      <protection hidden="1"/>
    </xf>
    <xf numFmtId="1" fontId="6" fillId="2" borderId="22" xfId="0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Alignment="1" applyProtection="1">
      <alignment horizontal="center" vertical="center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2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36" xfId="0" applyNumberFormat="1" applyFont="1" applyFill="1" applyBorder="1" applyAlignment="1" applyProtection="1">
      <alignment horizontal="left" vertical="center"/>
      <protection hidden="1"/>
    </xf>
    <xf numFmtId="1" fontId="4" fillId="2" borderId="35" xfId="0" applyNumberFormat="1" applyFont="1" applyFill="1" applyBorder="1" applyAlignment="1" applyProtection="1">
      <alignment horizontal="left" vertical="center"/>
      <protection hidden="1"/>
    </xf>
    <xf numFmtId="1" fontId="4" fillId="2" borderId="37" xfId="0" applyNumberFormat="1" applyFont="1" applyFill="1" applyBorder="1" applyAlignment="1" applyProtection="1">
      <alignment horizontal="left" vertical="center"/>
      <protection hidden="1"/>
    </xf>
    <xf numFmtId="10" fontId="6" fillId="2" borderId="1" xfId="0" applyNumberFormat="1" applyFont="1" applyFill="1" applyBorder="1" applyAlignment="1" applyProtection="1">
      <alignment horizontal="center" vertical="center"/>
      <protection hidden="1"/>
    </xf>
    <xf numFmtId="10" fontId="6" fillId="2" borderId="2" xfId="0" applyNumberFormat="1" applyFont="1" applyFill="1" applyBorder="1" applyAlignment="1" applyProtection="1">
      <alignment horizontal="center" vertical="center"/>
      <protection hidden="1"/>
    </xf>
    <xf numFmtId="10" fontId="6" fillId="2" borderId="10" xfId="0" applyNumberFormat="1" applyFont="1" applyFill="1" applyBorder="1" applyAlignment="1" applyProtection="1">
      <alignment horizontal="center" vertical="center"/>
      <protection hidden="1"/>
    </xf>
    <xf numFmtId="1" fontId="6" fillId="2" borderId="11" xfId="0" applyNumberFormat="1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  <protection hidden="1"/>
    </xf>
    <xf numFmtId="1" fontId="9" fillId="2" borderId="2" xfId="0" applyNumberFormat="1" applyFont="1" applyFill="1" applyBorder="1" applyAlignment="1" applyProtection="1">
      <alignment horizontal="center" vertical="center"/>
      <protection hidden="1"/>
    </xf>
    <xf numFmtId="1" fontId="9" fillId="2" borderId="10" xfId="0" applyNumberFormat="1" applyFont="1" applyFill="1" applyBorder="1" applyAlignment="1" applyProtection="1">
      <alignment horizontal="center" vertical="center"/>
      <protection hidden="1"/>
    </xf>
    <xf numFmtId="1" fontId="6" fillId="2" borderId="12" xfId="0" applyNumberFormat="1" applyFont="1" applyFill="1" applyBorder="1" applyAlignment="1" applyProtection="1">
      <alignment horizontal="center" vertical="center"/>
      <protection hidden="1"/>
    </xf>
    <xf numFmtId="1" fontId="6" fillId="2" borderId="0" xfId="0" applyNumberFormat="1" applyFont="1" applyFill="1" applyAlignment="1" applyProtection="1">
      <alignment horizontal="center" vertical="center"/>
      <protection hidden="1"/>
    </xf>
    <xf numFmtId="1" fontId="6" fillId="2" borderId="14" xfId="0" applyNumberFormat="1" applyFont="1" applyFill="1" applyBorder="1" applyAlignment="1" applyProtection="1">
      <alignment horizontal="center" vertical="center"/>
      <protection hidden="1"/>
    </xf>
    <xf numFmtId="10" fontId="6" fillId="2" borderId="0" xfId="0" applyNumberFormat="1" applyFont="1" applyFill="1" applyAlignment="1" applyProtection="1">
      <alignment horizontal="center" vertical="center"/>
      <protection hidden="1"/>
    </xf>
    <xf numFmtId="1" fontId="6" fillId="2" borderId="5" xfId="0" applyNumberFormat="1" applyFont="1" applyFill="1" applyBorder="1" applyAlignment="1" applyProtection="1">
      <alignment horizontal="center" vertical="center"/>
      <protection hidden="1"/>
    </xf>
    <xf numFmtId="1" fontId="6" fillId="2" borderId="6" xfId="0" applyNumberFormat="1" applyFont="1" applyFill="1" applyBorder="1" applyAlignment="1" applyProtection="1">
      <alignment horizontal="center" vertical="center"/>
      <protection hidden="1"/>
    </xf>
    <xf numFmtId="1" fontId="6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165" fontId="6" fillId="2" borderId="18" xfId="0" applyNumberFormat="1" applyFont="1" applyFill="1" applyBorder="1" applyAlignment="1" applyProtection="1">
      <alignment horizontal="center" vertical="center"/>
      <protection hidden="1"/>
    </xf>
    <xf numFmtId="165" fontId="6" fillId="2" borderId="20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2" fontId="6" fillId="2" borderId="19" xfId="0" applyNumberFormat="1" applyFont="1" applyFill="1" applyBorder="1" applyAlignment="1" applyProtection="1">
      <alignment horizontal="center" vertical="center"/>
      <protection hidden="1"/>
    </xf>
    <xf numFmtId="2" fontId="6" fillId="2" borderId="18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/>
    </xf>
    <xf numFmtId="1" fontId="3" fillId="2" borderId="27" xfId="0" applyNumberFormat="1" applyFont="1" applyFill="1" applyBorder="1" applyAlignment="1" applyProtection="1">
      <alignment horizontal="center" vertical="center"/>
      <protection hidden="1"/>
    </xf>
    <xf numFmtId="1" fontId="3" fillId="2" borderId="14" xfId="0" applyNumberFormat="1" applyFont="1" applyFill="1" applyBorder="1" applyAlignment="1" applyProtection="1">
      <alignment horizontal="center" vertical="center"/>
      <protection hidden="1"/>
    </xf>
    <xf numFmtId="1" fontId="3" fillId="2" borderId="16" xfId="0" applyNumberFormat="1" applyFont="1" applyFill="1" applyBorder="1" applyAlignment="1" applyProtection="1">
      <alignment horizontal="center" vertical="center"/>
      <protection hidden="1"/>
    </xf>
    <xf numFmtId="1" fontId="3" fillId="2" borderId="4" xfId="0" applyNumberFormat="1" applyFont="1" applyFill="1" applyBorder="1" applyAlignment="1" applyProtection="1">
      <alignment horizontal="center" vertical="center"/>
      <protection hidden="1"/>
    </xf>
    <xf numFmtId="1" fontId="3" fillId="2" borderId="0" xfId="0" applyNumberFormat="1" applyFont="1" applyFill="1" applyAlignment="1" applyProtection="1">
      <alignment horizontal="center" vertical="center"/>
      <protection hidden="1"/>
    </xf>
    <xf numFmtId="1" fontId="3" fillId="2" borderId="23" xfId="0" applyNumberFormat="1" applyFont="1" applyFill="1" applyBorder="1" applyAlignment="1" applyProtection="1">
      <alignment horizontal="center" vertical="center"/>
      <protection hidden="1"/>
    </xf>
    <xf numFmtId="1" fontId="3" fillId="2" borderId="25" xfId="0" applyNumberFormat="1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/>
      <protection hidden="1"/>
    </xf>
    <xf numFmtId="0" fontId="4" fillId="0" borderId="30" xfId="0" quotePrefix="1" applyFont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horizontal="center"/>
      <protection hidden="1"/>
    </xf>
    <xf numFmtId="0" fontId="6" fillId="0" borderId="43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left" wrapText="1"/>
      <protection hidden="1"/>
    </xf>
    <xf numFmtId="0" fontId="4" fillId="0" borderId="30" xfId="0" applyFont="1" applyBorder="1" applyAlignment="1" applyProtection="1">
      <alignment horizontal="left" vertical="center" wrapText="1"/>
      <protection hidden="1"/>
    </xf>
    <xf numFmtId="0" fontId="6" fillId="4" borderId="38" xfId="0" applyFont="1" applyFill="1" applyBorder="1" applyAlignment="1" applyProtection="1">
      <alignment horizontal="center"/>
      <protection locked="0"/>
    </xf>
    <xf numFmtId="0" fontId="6" fillId="4" borderId="39" xfId="0" applyFont="1" applyFill="1" applyBorder="1" applyAlignment="1" applyProtection="1">
      <alignment horizontal="center"/>
      <protection locked="0"/>
    </xf>
    <xf numFmtId="0" fontId="6" fillId="4" borderId="40" xfId="0" applyFont="1" applyFill="1" applyBorder="1" applyAlignment="1" applyProtection="1">
      <alignment horizontal="center"/>
      <protection locked="0"/>
    </xf>
    <xf numFmtId="0" fontId="6" fillId="4" borderId="34" xfId="0" applyFont="1" applyFill="1" applyBorder="1" applyAlignment="1" applyProtection="1">
      <alignment horizontal="center"/>
      <protection locked="0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0</xdr:rowOff>
    </xdr:from>
    <xdr:to>
      <xdr:col>0</xdr:col>
      <xdr:colOff>552450</xdr:colOff>
      <xdr:row>22</xdr:row>
      <xdr:rowOff>152400</xdr:rowOff>
    </xdr:to>
    <xdr:sp macro="" textlink="">
      <xdr:nvSpPr>
        <xdr:cNvPr id="8" name="Right Arrow 3">
          <a:extLst>
            <a:ext uri="{FF2B5EF4-FFF2-40B4-BE49-F238E27FC236}">
              <a16:creationId xmlns:a16="http://schemas.microsoft.com/office/drawing/2014/main" id="{024BABA4-4630-E279-A1C1-205D32A7D848}"/>
            </a:ext>
          </a:extLst>
        </xdr:cNvPr>
        <xdr:cNvSpPr/>
      </xdr:nvSpPr>
      <xdr:spPr>
        <a:xfrm>
          <a:off x="723900" y="4791075"/>
          <a:ext cx="438150" cy="15240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EAFE7-B8FF-41C7-B69D-80EB29CEF0F4}">
  <dimension ref="B2:BA129"/>
  <sheetViews>
    <sheetView showGridLines="0" tabSelected="1" zoomScale="80" zoomScaleNormal="80" workbookViewId="0">
      <selection activeCell="N23" activeCellId="1" sqref="N18:T18 N23:V23"/>
    </sheetView>
  </sheetViews>
  <sheetFormatPr baseColWidth="10" defaultColWidth="8.83203125" defaultRowHeight="15" x14ac:dyDescent="0.2"/>
  <cols>
    <col min="2" max="13" width="8.6640625" hidden="1" customWidth="1"/>
    <col min="15" max="15" width="4" customWidth="1"/>
    <col min="16" max="16" width="4.5" customWidth="1"/>
    <col min="17" max="17" width="9.1640625" customWidth="1"/>
    <col min="18" max="18" width="2.5" customWidth="1"/>
    <col min="19" max="19" width="13.5" customWidth="1"/>
    <col min="20" max="20" width="7.1640625" customWidth="1"/>
    <col min="21" max="21" width="3.33203125" customWidth="1"/>
    <col min="22" max="22" width="2" customWidth="1"/>
    <col min="23" max="23" width="16.5" customWidth="1"/>
    <col min="24" max="24" width="5.5" hidden="1" customWidth="1"/>
    <col min="25" max="25" width="4.1640625" hidden="1" customWidth="1"/>
    <col min="26" max="26" width="4.33203125" hidden="1" customWidth="1"/>
    <col min="27" max="27" width="7.6640625" hidden="1" customWidth="1"/>
    <col min="28" max="28" width="0.1640625" hidden="1" customWidth="1"/>
    <col min="29" max="29" width="1.83203125" hidden="1" customWidth="1"/>
    <col min="30" max="30" width="8" customWidth="1"/>
    <col min="31" max="34" width="4" customWidth="1"/>
    <col min="35" max="35" width="0" hidden="1" customWidth="1"/>
    <col min="36" max="36" width="6.33203125" customWidth="1"/>
    <col min="37" max="37" width="1.5" hidden="1" customWidth="1"/>
    <col min="38" max="39" width="3.1640625" customWidth="1"/>
    <col min="40" max="40" width="5.5" customWidth="1"/>
    <col min="41" max="41" width="4.83203125" customWidth="1"/>
    <col min="42" max="42" width="3.6640625" customWidth="1"/>
    <col min="43" max="43" width="4.5" customWidth="1"/>
    <col min="44" max="44" width="5.33203125" customWidth="1"/>
    <col min="45" max="45" width="4.33203125" customWidth="1"/>
    <col min="46" max="46" width="3.33203125" customWidth="1"/>
    <col min="47" max="47" width="4.83203125" customWidth="1"/>
    <col min="50" max="50" width="5.5" customWidth="1"/>
    <col min="51" max="51" width="4.6640625" customWidth="1"/>
    <col min="52" max="52" width="3.33203125" customWidth="1"/>
    <col min="53" max="53" width="4.83203125" customWidth="1"/>
  </cols>
  <sheetData>
    <row r="2" spans="14:53" ht="68.25" customHeight="1" x14ac:dyDescent="0.2">
      <c r="N2" s="218" t="e" vm="1">
        <v>#VALUE!</v>
      </c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14:53" ht="39.75" customHeight="1" x14ac:dyDescent="0.2">
      <c r="N3" s="219" t="s">
        <v>50</v>
      </c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</row>
    <row r="4" spans="14:53" x14ac:dyDescent="0.2"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4:53" x14ac:dyDescent="0.2">
      <c r="N5" s="216" t="s">
        <v>0</v>
      </c>
      <c r="O5" s="216"/>
      <c r="P5" s="216"/>
      <c r="Q5" s="216"/>
      <c r="R5" s="216"/>
      <c r="S5" s="216"/>
      <c r="T5" s="216"/>
      <c r="U5" s="216"/>
      <c r="V5" s="216"/>
      <c r="W5" s="216"/>
      <c r="X5" s="50"/>
      <c r="Y5" s="50"/>
      <c r="Z5" s="50"/>
      <c r="AA5" s="50"/>
      <c r="AB5" s="50"/>
      <c r="AC5" s="50"/>
      <c r="AD5" s="216" t="s">
        <v>1</v>
      </c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</row>
    <row r="6" spans="14:53" x14ac:dyDescent="0.2">
      <c r="N6" s="224" t="s">
        <v>49</v>
      </c>
      <c r="O6" s="224"/>
      <c r="P6" s="224"/>
      <c r="Q6" s="224"/>
      <c r="R6" s="224"/>
      <c r="S6" s="224"/>
      <c r="T6" s="224"/>
      <c r="U6" s="224"/>
      <c r="V6" s="224"/>
      <c r="W6" s="224"/>
      <c r="X6" s="59"/>
      <c r="Y6" s="50"/>
      <c r="Z6" s="50"/>
      <c r="AA6" s="50"/>
      <c r="AB6" s="50"/>
      <c r="AC6" s="50"/>
      <c r="AD6" s="223" t="s">
        <v>52</v>
      </c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</row>
    <row r="7" spans="14:53" ht="31.5" customHeight="1" x14ac:dyDescent="0.2"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59"/>
      <c r="Y7" s="50"/>
      <c r="Z7" s="50"/>
      <c r="AA7" s="50"/>
      <c r="AB7" s="50"/>
      <c r="AC7" s="50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</row>
    <row r="8" spans="14:53" ht="15" customHeight="1" x14ac:dyDescent="0.2"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59"/>
      <c r="Y8" s="50"/>
      <c r="Z8" s="50"/>
      <c r="AA8" s="50"/>
      <c r="AB8" s="50"/>
      <c r="AC8" s="50"/>
      <c r="AD8" s="223" t="s">
        <v>48</v>
      </c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</row>
    <row r="9" spans="14:53" x14ac:dyDescent="0.2">
      <c r="N9" s="60"/>
      <c r="O9" s="60"/>
      <c r="P9" s="60"/>
      <c r="Q9" s="60"/>
      <c r="R9" s="60"/>
      <c r="S9" s="60"/>
      <c r="T9" s="60"/>
      <c r="U9" s="60"/>
      <c r="V9" s="60"/>
      <c r="W9" s="60"/>
      <c r="X9" s="59"/>
      <c r="Y9" s="50"/>
      <c r="Z9" s="50"/>
      <c r="AA9" s="50"/>
      <c r="AB9" s="50"/>
      <c r="AC9" s="50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</row>
    <row r="10" spans="14:53" x14ac:dyDescent="0.2">
      <c r="N10" s="216" t="s">
        <v>2</v>
      </c>
      <c r="O10" s="216"/>
      <c r="P10" s="216"/>
      <c r="Q10" s="216"/>
      <c r="R10" s="216"/>
      <c r="S10" s="216"/>
      <c r="T10" s="216"/>
      <c r="U10" s="216"/>
      <c r="V10" s="216"/>
      <c r="W10" s="216"/>
      <c r="X10" s="61"/>
      <c r="Y10" s="50"/>
      <c r="Z10" s="50"/>
      <c r="AA10" s="50"/>
      <c r="AB10" s="50"/>
      <c r="AC10" s="50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</row>
    <row r="11" spans="14:53" x14ac:dyDescent="0.2">
      <c r="N11" s="217" t="s">
        <v>3</v>
      </c>
      <c r="O11" s="217"/>
      <c r="P11" s="217"/>
      <c r="Q11" s="217"/>
      <c r="R11" s="217"/>
      <c r="S11" s="217"/>
      <c r="T11" s="217"/>
      <c r="U11" s="217"/>
      <c r="V11" s="217"/>
      <c r="W11" s="217"/>
      <c r="X11" s="61"/>
      <c r="Y11" s="50"/>
      <c r="Z11" s="50"/>
      <c r="AA11" s="50"/>
      <c r="AB11" s="50"/>
      <c r="AC11" s="50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</row>
    <row r="12" spans="14:53" ht="15" customHeight="1" x14ac:dyDescent="0.2"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62"/>
      <c r="Y12" s="50"/>
      <c r="Z12" s="50"/>
      <c r="AA12" s="50"/>
      <c r="AB12" s="50"/>
      <c r="AC12" s="50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14:53" x14ac:dyDescent="0.2">
      <c r="N13" s="217" t="s">
        <v>47</v>
      </c>
      <c r="O13" s="217"/>
      <c r="P13" s="217"/>
      <c r="Q13" s="217"/>
      <c r="R13" s="217"/>
      <c r="S13" s="217"/>
      <c r="T13" s="217"/>
      <c r="U13" s="217"/>
      <c r="V13" s="217"/>
      <c r="W13" s="217"/>
      <c r="X13" s="62"/>
      <c r="Y13" s="50"/>
      <c r="Z13" s="50"/>
      <c r="AA13" s="50"/>
      <c r="AB13" s="50"/>
      <c r="AC13" s="50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</row>
    <row r="14" spans="14:53" x14ac:dyDescent="0.2"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62"/>
      <c r="Y14" s="50"/>
      <c r="Z14" s="50"/>
      <c r="AA14" s="50"/>
      <c r="AB14" s="50"/>
      <c r="AC14" s="5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</row>
    <row r="15" spans="14:53" ht="15" customHeight="1" x14ac:dyDescent="0.2"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14:53" x14ac:dyDescent="0.2">
      <c r="N16" s="220" t="s">
        <v>46</v>
      </c>
      <c r="O16" s="221"/>
      <c r="P16" s="221"/>
      <c r="Q16" s="221"/>
      <c r="R16" s="221"/>
      <c r="S16" s="221"/>
      <c r="T16" s="221"/>
      <c r="U16" s="221"/>
      <c r="V16" s="221"/>
      <c r="W16" s="222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61"/>
      <c r="AK16" s="61"/>
      <c r="AL16" s="61"/>
      <c r="AM16" s="61"/>
      <c r="AN16" s="61"/>
      <c r="AO16" s="61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2:50" ht="15" customHeight="1" x14ac:dyDescent="0.2">
      <c r="N17" s="88" t="s">
        <v>5</v>
      </c>
      <c r="O17" s="89"/>
      <c r="P17" s="89"/>
      <c r="Q17" s="89"/>
      <c r="R17" s="89"/>
      <c r="S17" s="89"/>
      <c r="T17" s="89"/>
      <c r="U17" s="89"/>
      <c r="V17" s="89"/>
      <c r="W17" s="9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50" x14ac:dyDescent="0.2">
      <c r="N18" s="225">
        <v>20</v>
      </c>
      <c r="O18" s="226"/>
      <c r="P18" s="226"/>
      <c r="Q18" s="226"/>
      <c r="R18" s="226"/>
      <c r="S18" s="226"/>
      <c r="T18" s="227"/>
      <c r="U18" s="88" t="s">
        <v>7</v>
      </c>
      <c r="V18" s="89"/>
      <c r="W18" s="9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1"/>
      <c r="AK18" s="31"/>
      <c r="AL18" s="31"/>
      <c r="AM18" s="31"/>
      <c r="AN18" s="31"/>
      <c r="AO18" s="31"/>
      <c r="AP18" s="28"/>
      <c r="AQ18" s="28"/>
      <c r="AR18" s="28"/>
      <c r="AS18" s="28"/>
      <c r="AT18" s="28"/>
      <c r="AU18" s="28"/>
      <c r="AV18" s="28"/>
      <c r="AW18" s="28"/>
      <c r="AX18" s="28"/>
    </row>
    <row r="19" spans="2:50" x14ac:dyDescent="0.2">
      <c r="N19" s="91">
        <f>N18*0.3048</f>
        <v>6.0960000000000001</v>
      </c>
      <c r="O19" s="92"/>
      <c r="P19" s="92"/>
      <c r="Q19" s="92"/>
      <c r="R19" s="92"/>
      <c r="S19" s="92"/>
      <c r="T19" s="93"/>
      <c r="U19" s="88" t="s">
        <v>6</v>
      </c>
      <c r="V19" s="89"/>
      <c r="W19" s="9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2"/>
      <c r="AK19" s="32"/>
      <c r="AL19" s="32"/>
      <c r="AM19" s="32"/>
      <c r="AN19" s="32"/>
      <c r="AO19" s="32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2:50" x14ac:dyDescent="0.2"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2:50" x14ac:dyDescent="0.2">
      <c r="N21" s="104" t="s">
        <v>8</v>
      </c>
      <c r="O21" s="104"/>
      <c r="P21" s="104"/>
      <c r="Q21" s="104"/>
      <c r="R21" s="104"/>
      <c r="S21" s="104"/>
      <c r="T21" s="104"/>
      <c r="U21" s="104"/>
      <c r="V21" s="104"/>
      <c r="W21" s="104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</row>
    <row r="22" spans="2:50" x14ac:dyDescent="0.2">
      <c r="N22" s="67" t="s">
        <v>4</v>
      </c>
      <c r="O22" s="67"/>
      <c r="P22" s="67"/>
      <c r="Q22" s="67"/>
      <c r="R22" s="67"/>
      <c r="S22" s="67"/>
      <c r="T22" s="67"/>
      <c r="U22" s="67"/>
      <c r="V22" s="67"/>
      <c r="W22" s="67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2:50" x14ac:dyDescent="0.2">
      <c r="N23" s="228">
        <v>6.1</v>
      </c>
      <c r="O23" s="228"/>
      <c r="P23" s="228"/>
      <c r="Q23" s="228"/>
      <c r="R23" s="228"/>
      <c r="S23" s="228"/>
      <c r="T23" s="228"/>
      <c r="U23" s="228"/>
      <c r="V23" s="228"/>
      <c r="W23" s="63" t="s">
        <v>6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2:50" ht="16" thickBot="1" x14ac:dyDescent="0.25"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2:50" ht="19.25" customHeight="1" x14ac:dyDescent="0.2">
      <c r="B25" s="1" t="s">
        <v>9</v>
      </c>
      <c r="C25" s="2"/>
      <c r="D25" s="2"/>
      <c r="E25" s="2"/>
      <c r="F25" s="2"/>
      <c r="G25" s="2"/>
      <c r="H25" s="2"/>
      <c r="I25" s="21" t="s">
        <v>9</v>
      </c>
      <c r="J25" s="2"/>
      <c r="K25" s="2"/>
      <c r="L25" s="2"/>
      <c r="M25" s="2"/>
      <c r="N25" s="68" t="s">
        <v>10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70"/>
    </row>
    <row r="26" spans="2:50" ht="19.25" customHeight="1" thickBot="1" x14ac:dyDescent="0.25">
      <c r="B26" s="3"/>
      <c r="C26" s="4"/>
      <c r="D26" s="4"/>
      <c r="E26" s="4"/>
      <c r="F26" s="4"/>
      <c r="G26" s="4"/>
      <c r="H26" s="4"/>
      <c r="I26" s="13"/>
      <c r="J26" s="4"/>
      <c r="K26" s="4"/>
      <c r="L26" s="4"/>
      <c r="M26" s="4"/>
      <c r="N26" s="71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3"/>
    </row>
    <row r="27" spans="2:50" ht="19.25" hidden="1" customHeight="1" thickBot="1" x14ac:dyDescent="0.25">
      <c r="B27" s="105" t="s">
        <v>11</v>
      </c>
      <c r="C27" s="106"/>
      <c r="D27" s="106"/>
      <c r="E27" s="106"/>
      <c r="F27" s="106"/>
      <c r="G27" s="106"/>
      <c r="H27" s="106"/>
      <c r="I27" s="107"/>
      <c r="J27" s="106"/>
      <c r="K27" s="106"/>
      <c r="L27" s="106"/>
      <c r="M27" s="106"/>
      <c r="N27" s="94" t="s">
        <v>12</v>
      </c>
      <c r="O27" s="95"/>
      <c r="P27" s="95"/>
      <c r="Q27" s="95"/>
      <c r="R27" s="95"/>
      <c r="S27" s="95"/>
      <c r="T27" s="95"/>
      <c r="U27" s="95"/>
      <c r="V27" s="41"/>
      <c r="W27" s="41"/>
      <c r="X27" s="94" t="s">
        <v>13</v>
      </c>
      <c r="Y27" s="95"/>
      <c r="Z27" s="95"/>
      <c r="AA27" s="95"/>
      <c r="AB27" s="96"/>
      <c r="AC27" s="95" t="s">
        <v>14</v>
      </c>
      <c r="AD27" s="95"/>
      <c r="AE27" s="95"/>
      <c r="AF27" s="95"/>
      <c r="AG27" s="95"/>
      <c r="AH27" s="100" t="s">
        <v>15</v>
      </c>
      <c r="AI27" s="95"/>
      <c r="AJ27" s="95"/>
      <c r="AK27" s="95"/>
      <c r="AL27" s="95"/>
      <c r="AM27" s="95"/>
      <c r="AN27" s="95"/>
      <c r="AO27" s="96"/>
    </row>
    <row r="28" spans="2:50" ht="19.25" hidden="1" customHeight="1" thickBot="1" x14ac:dyDescent="0.25">
      <c r="B28" s="108"/>
      <c r="C28" s="109"/>
      <c r="D28" s="109"/>
      <c r="E28" s="109"/>
      <c r="F28" s="109"/>
      <c r="G28" s="109"/>
      <c r="H28" s="109"/>
      <c r="I28" s="110"/>
      <c r="J28" s="109"/>
      <c r="K28" s="109"/>
      <c r="L28" s="109"/>
      <c r="M28" s="111"/>
      <c r="N28" s="97"/>
      <c r="O28" s="98"/>
      <c r="P28" s="98"/>
      <c r="Q28" s="98"/>
      <c r="R28" s="98"/>
      <c r="S28" s="98"/>
      <c r="T28" s="98"/>
      <c r="U28" s="99"/>
      <c r="V28" s="33"/>
      <c r="W28" s="33"/>
      <c r="X28" s="97"/>
      <c r="Y28" s="98"/>
      <c r="Z28" s="98"/>
      <c r="AA28" s="98"/>
      <c r="AB28" s="99"/>
      <c r="AC28" s="97"/>
      <c r="AD28" s="98"/>
      <c r="AE28" s="98"/>
      <c r="AF28" s="98"/>
      <c r="AG28" s="99"/>
      <c r="AH28" s="101"/>
      <c r="AI28" s="102"/>
      <c r="AJ28" s="102"/>
      <c r="AK28" s="102"/>
      <c r="AL28" s="102"/>
      <c r="AM28" s="102"/>
      <c r="AN28" s="102"/>
      <c r="AO28" s="103"/>
    </row>
    <row r="29" spans="2:50" ht="19.25" hidden="1" customHeight="1" thickBot="1" x14ac:dyDescent="0.25"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38"/>
      <c r="O29" s="33"/>
      <c r="P29" s="33"/>
      <c r="Q29" s="33"/>
      <c r="R29" s="33"/>
      <c r="S29" s="33"/>
      <c r="T29" s="33"/>
      <c r="U29" s="33"/>
      <c r="V29" s="33"/>
      <c r="W29" s="33"/>
      <c r="X29" s="39"/>
      <c r="Y29" s="34"/>
      <c r="Z29" s="34"/>
      <c r="AA29" s="34"/>
      <c r="AB29" s="40"/>
      <c r="AC29" s="34"/>
      <c r="AD29" s="34"/>
      <c r="AE29" s="34"/>
      <c r="AF29" s="34"/>
      <c r="AG29" s="34"/>
      <c r="AH29" s="39"/>
      <c r="AI29" s="34"/>
      <c r="AJ29" s="34"/>
      <c r="AK29" s="34"/>
      <c r="AL29" s="34"/>
      <c r="AM29" s="34"/>
      <c r="AN29" s="34"/>
      <c r="AO29" s="40"/>
    </row>
    <row r="30" spans="2:50" ht="19.25" hidden="1" customHeight="1" thickBot="1" x14ac:dyDescent="0.25">
      <c r="B30" s="121" t="s">
        <v>16</v>
      </c>
      <c r="C30" s="106"/>
      <c r="D30" s="106"/>
      <c r="E30" s="124" t="s">
        <v>17</v>
      </c>
      <c r="F30" s="124"/>
      <c r="G30" s="124"/>
      <c r="H30" s="8">
        <v>68.5</v>
      </c>
      <c r="I30" s="83" t="s">
        <v>18</v>
      </c>
      <c r="J30" s="84"/>
      <c r="K30" s="85" t="s">
        <v>19</v>
      </c>
      <c r="L30" s="9">
        <v>1.23</v>
      </c>
      <c r="M30" s="10" t="s">
        <v>6</v>
      </c>
      <c r="N30" s="77">
        <v>5728</v>
      </c>
      <c r="O30" s="78"/>
      <c r="P30" s="78"/>
      <c r="Q30" s="78"/>
      <c r="R30" s="78"/>
      <c r="S30" s="78"/>
      <c r="T30" s="78"/>
      <c r="U30" s="79"/>
      <c r="V30" s="42"/>
      <c r="W30" s="42"/>
      <c r="X30" s="74">
        <f t="shared" ref="X30:X33" si="0">X31/N31*N30</f>
        <v>3623.7325011145786</v>
      </c>
      <c r="Y30" s="75"/>
      <c r="Z30" s="75"/>
      <c r="AA30" s="75"/>
      <c r="AB30" s="76"/>
      <c r="AC30" s="74"/>
      <c r="AD30" s="75"/>
      <c r="AE30" s="75"/>
      <c r="AF30" s="75"/>
      <c r="AG30" s="76"/>
      <c r="AH30" s="74">
        <v>5493</v>
      </c>
      <c r="AI30" s="75"/>
      <c r="AJ30" s="75"/>
      <c r="AK30" s="75"/>
      <c r="AL30" s="75"/>
      <c r="AM30" s="75"/>
      <c r="AN30" s="75"/>
      <c r="AO30" s="76"/>
    </row>
    <row r="31" spans="2:50" ht="19.25" hidden="1" customHeight="1" thickBot="1" x14ac:dyDescent="0.25">
      <c r="B31" s="122"/>
      <c r="C31" s="123"/>
      <c r="D31" s="123"/>
      <c r="E31" s="125"/>
      <c r="F31" s="125"/>
      <c r="G31" s="125"/>
      <c r="H31" s="8">
        <v>66.5</v>
      </c>
      <c r="I31" s="83" t="s">
        <v>18</v>
      </c>
      <c r="J31" s="84"/>
      <c r="K31" s="86"/>
      <c r="L31" s="9">
        <v>1.3380000000000001</v>
      </c>
      <c r="M31" s="10" t="s">
        <v>6</v>
      </c>
      <c r="N31" s="77">
        <v>5465</v>
      </c>
      <c r="O31" s="78"/>
      <c r="P31" s="78"/>
      <c r="Q31" s="78"/>
      <c r="R31" s="78"/>
      <c r="S31" s="78"/>
      <c r="T31" s="78"/>
      <c r="U31" s="79"/>
      <c r="V31" s="42"/>
      <c r="W31" s="42"/>
      <c r="X31" s="74">
        <f t="shared" si="0"/>
        <v>3457.3495318769506</v>
      </c>
      <c r="Y31" s="75"/>
      <c r="Z31" s="75"/>
      <c r="AA31" s="75"/>
      <c r="AB31" s="76"/>
      <c r="AC31" s="74"/>
      <c r="AD31" s="75"/>
      <c r="AE31" s="75"/>
      <c r="AF31" s="75"/>
      <c r="AG31" s="76"/>
      <c r="AH31" s="74">
        <v>5480.5</v>
      </c>
      <c r="AI31" s="75"/>
      <c r="AJ31" s="75"/>
      <c r="AK31" s="75"/>
      <c r="AL31" s="75"/>
      <c r="AM31" s="75"/>
      <c r="AN31" s="75"/>
      <c r="AO31" s="76"/>
    </row>
    <row r="32" spans="2:50" ht="19.25" hidden="1" customHeight="1" thickBot="1" x14ac:dyDescent="0.25">
      <c r="B32" s="122"/>
      <c r="C32" s="123"/>
      <c r="D32" s="123"/>
      <c r="E32" s="125"/>
      <c r="F32" s="125"/>
      <c r="G32" s="125"/>
      <c r="H32" s="8">
        <v>64.5</v>
      </c>
      <c r="I32" s="83" t="s">
        <v>18</v>
      </c>
      <c r="J32" s="84"/>
      <c r="K32" s="86"/>
      <c r="L32" s="9">
        <v>1.4670000000000001</v>
      </c>
      <c r="M32" s="10" t="s">
        <v>6</v>
      </c>
      <c r="N32" s="77">
        <v>5375</v>
      </c>
      <c r="O32" s="78"/>
      <c r="P32" s="78"/>
      <c r="Q32" s="78"/>
      <c r="R32" s="78"/>
      <c r="S32" s="78"/>
      <c r="T32" s="78"/>
      <c r="U32" s="79"/>
      <c r="V32" s="42"/>
      <c r="W32" s="42"/>
      <c r="X32" s="74">
        <f t="shared" si="0"/>
        <v>3400.4123941150247</v>
      </c>
      <c r="Y32" s="75"/>
      <c r="Z32" s="75"/>
      <c r="AA32" s="75"/>
      <c r="AB32" s="76"/>
      <c r="AC32" s="74"/>
      <c r="AD32" s="75"/>
      <c r="AE32" s="75"/>
      <c r="AF32" s="75"/>
      <c r="AG32" s="76"/>
      <c r="AH32" s="74">
        <v>5468</v>
      </c>
      <c r="AI32" s="75"/>
      <c r="AJ32" s="75"/>
      <c r="AK32" s="75"/>
      <c r="AL32" s="75"/>
      <c r="AM32" s="75"/>
      <c r="AN32" s="75"/>
      <c r="AO32" s="76"/>
    </row>
    <row r="33" spans="2:41" ht="19.25" hidden="1" customHeight="1" thickBot="1" x14ac:dyDescent="0.25">
      <c r="B33" s="122"/>
      <c r="C33" s="123"/>
      <c r="D33" s="123"/>
      <c r="E33" s="125"/>
      <c r="F33" s="125"/>
      <c r="G33" s="125"/>
      <c r="H33" s="8">
        <v>62.5</v>
      </c>
      <c r="I33" s="83" t="s">
        <v>18</v>
      </c>
      <c r="J33" s="84"/>
      <c r="K33" s="86"/>
      <c r="L33" s="9">
        <v>1.595</v>
      </c>
      <c r="M33" s="10" t="s">
        <v>6</v>
      </c>
      <c r="N33" s="77">
        <v>5115</v>
      </c>
      <c r="O33" s="78"/>
      <c r="P33" s="78"/>
      <c r="Q33" s="78"/>
      <c r="R33" s="78"/>
      <c r="S33" s="78"/>
      <c r="T33" s="78"/>
      <c r="U33" s="79"/>
      <c r="V33" s="42"/>
      <c r="W33" s="42"/>
      <c r="X33" s="74">
        <f t="shared" si="0"/>
        <v>3235.9273294694603</v>
      </c>
      <c r="Y33" s="75"/>
      <c r="Z33" s="75"/>
      <c r="AA33" s="75"/>
      <c r="AB33" s="76"/>
      <c r="AC33" s="74"/>
      <c r="AD33" s="75"/>
      <c r="AE33" s="75"/>
      <c r="AF33" s="75"/>
      <c r="AG33" s="76"/>
      <c r="AH33" s="74">
        <v>5405</v>
      </c>
      <c r="AI33" s="75"/>
      <c r="AJ33" s="75"/>
      <c r="AK33" s="75"/>
      <c r="AL33" s="75"/>
      <c r="AM33" s="75"/>
      <c r="AN33" s="75"/>
      <c r="AO33" s="76"/>
    </row>
    <row r="34" spans="2:41" ht="19.25" hidden="1" customHeight="1" thickBot="1" x14ac:dyDescent="0.25">
      <c r="B34" s="122"/>
      <c r="C34" s="123"/>
      <c r="D34" s="123"/>
      <c r="E34" s="125"/>
      <c r="F34" s="125"/>
      <c r="G34" s="125"/>
      <c r="H34" s="8">
        <v>60.5</v>
      </c>
      <c r="I34" s="83" t="s">
        <v>18</v>
      </c>
      <c r="J34" s="84"/>
      <c r="K34" s="86"/>
      <c r="L34" s="9">
        <v>1.827</v>
      </c>
      <c r="M34" s="10" t="s">
        <v>6</v>
      </c>
      <c r="N34" s="77">
        <v>4940</v>
      </c>
      <c r="O34" s="78"/>
      <c r="P34" s="78"/>
      <c r="Q34" s="78"/>
      <c r="R34" s="78"/>
      <c r="S34" s="78"/>
      <c r="T34" s="78"/>
      <c r="U34" s="79"/>
      <c r="V34" s="42"/>
      <c r="W34" s="42"/>
      <c r="X34" s="74">
        <f>X35/N35*N34</f>
        <v>3125.2162282657155</v>
      </c>
      <c r="Y34" s="75"/>
      <c r="Z34" s="75"/>
      <c r="AA34" s="75"/>
      <c r="AB34" s="76"/>
      <c r="AC34" s="74"/>
      <c r="AD34" s="75"/>
      <c r="AE34" s="75"/>
      <c r="AF34" s="75"/>
      <c r="AG34" s="76"/>
      <c r="AH34" s="74">
        <v>5399</v>
      </c>
      <c r="AI34" s="75"/>
      <c r="AJ34" s="75"/>
      <c r="AK34" s="75"/>
      <c r="AL34" s="75"/>
      <c r="AM34" s="75"/>
      <c r="AN34" s="75"/>
      <c r="AO34" s="76"/>
    </row>
    <row r="35" spans="2:41" ht="19.25" hidden="1" customHeight="1" thickBot="1" x14ac:dyDescent="0.25">
      <c r="B35" s="122"/>
      <c r="C35" s="123"/>
      <c r="D35" s="123"/>
      <c r="E35" s="125"/>
      <c r="F35" s="125"/>
      <c r="G35" s="125"/>
      <c r="H35" s="8">
        <v>58.5</v>
      </c>
      <c r="I35" s="83" t="s">
        <v>18</v>
      </c>
      <c r="J35" s="84"/>
      <c r="K35" s="86"/>
      <c r="L35" s="9">
        <v>2.1240000000000001</v>
      </c>
      <c r="M35" s="10" t="s">
        <v>6</v>
      </c>
      <c r="N35" s="77">
        <v>4486</v>
      </c>
      <c r="O35" s="78"/>
      <c r="P35" s="78"/>
      <c r="Q35" s="78"/>
      <c r="R35" s="78"/>
      <c r="S35" s="78"/>
      <c r="T35" s="78"/>
      <c r="U35" s="79"/>
      <c r="V35" s="42"/>
      <c r="W35" s="42"/>
      <c r="X35" s="74">
        <v>2838</v>
      </c>
      <c r="Y35" s="75"/>
      <c r="Z35" s="75"/>
      <c r="AA35" s="75"/>
      <c r="AB35" s="76"/>
      <c r="AC35" s="74"/>
      <c r="AD35" s="75"/>
      <c r="AE35" s="75"/>
      <c r="AF35" s="75"/>
      <c r="AG35" s="76"/>
      <c r="AH35" s="74">
        <v>5391</v>
      </c>
      <c r="AI35" s="75"/>
      <c r="AJ35" s="75"/>
      <c r="AK35" s="75"/>
      <c r="AL35" s="75"/>
      <c r="AM35" s="75"/>
      <c r="AN35" s="75"/>
      <c r="AO35" s="76"/>
    </row>
    <row r="36" spans="2:41" ht="19.25" hidden="1" customHeight="1" thickBot="1" x14ac:dyDescent="0.25">
      <c r="B36" s="122"/>
      <c r="C36" s="123"/>
      <c r="D36" s="123"/>
      <c r="E36" s="125"/>
      <c r="F36" s="125"/>
      <c r="G36" s="125"/>
      <c r="H36" s="8">
        <v>56.5</v>
      </c>
      <c r="I36" s="83" t="s">
        <v>18</v>
      </c>
      <c r="J36" s="84"/>
      <c r="K36" s="86"/>
      <c r="L36" s="9">
        <v>2.5499999999999998</v>
      </c>
      <c r="M36" s="10" t="s">
        <v>6</v>
      </c>
      <c r="N36" s="77">
        <v>4312</v>
      </c>
      <c r="O36" s="78"/>
      <c r="P36" s="78"/>
      <c r="Q36" s="78"/>
      <c r="R36" s="78"/>
      <c r="S36" s="78"/>
      <c r="T36" s="78"/>
      <c r="U36" s="79"/>
      <c r="V36" s="42"/>
      <c r="W36" s="42"/>
      <c r="X36" s="74">
        <f>X35/N35*N36</f>
        <v>2727.9215336602765</v>
      </c>
      <c r="Y36" s="75"/>
      <c r="Z36" s="75"/>
      <c r="AA36" s="75"/>
      <c r="AB36" s="76"/>
      <c r="AC36" s="74"/>
      <c r="AD36" s="75"/>
      <c r="AE36" s="75"/>
      <c r="AF36" s="75"/>
      <c r="AG36" s="76"/>
      <c r="AH36" s="74">
        <v>5378</v>
      </c>
      <c r="AI36" s="75"/>
      <c r="AJ36" s="75"/>
      <c r="AK36" s="75"/>
      <c r="AL36" s="75"/>
      <c r="AM36" s="75"/>
      <c r="AN36" s="75"/>
      <c r="AO36" s="76"/>
    </row>
    <row r="37" spans="2:41" ht="19.25" hidden="1" customHeight="1" thickBot="1" x14ac:dyDescent="0.25">
      <c r="B37" s="122"/>
      <c r="C37" s="123"/>
      <c r="D37" s="123"/>
      <c r="E37" s="125"/>
      <c r="F37" s="125"/>
      <c r="G37" s="125"/>
      <c r="H37" s="8">
        <v>54.5</v>
      </c>
      <c r="I37" s="83" t="s">
        <v>18</v>
      </c>
      <c r="J37" s="84"/>
      <c r="K37" s="86"/>
      <c r="L37" s="9">
        <v>3.1419999999999999</v>
      </c>
      <c r="M37" s="10" t="s">
        <v>6</v>
      </c>
      <c r="N37" s="77">
        <v>4182</v>
      </c>
      <c r="O37" s="78"/>
      <c r="P37" s="78"/>
      <c r="Q37" s="78"/>
      <c r="R37" s="78"/>
      <c r="S37" s="78"/>
      <c r="T37" s="78"/>
      <c r="U37" s="79"/>
      <c r="V37" s="42"/>
      <c r="W37" s="42"/>
      <c r="X37" s="74">
        <f t="shared" ref="X37:X39" si="1">X36/N36*N37</f>
        <v>2645.6790013374944</v>
      </c>
      <c r="Y37" s="75"/>
      <c r="Z37" s="75"/>
      <c r="AA37" s="75"/>
      <c r="AB37" s="76"/>
      <c r="AC37" s="74"/>
      <c r="AD37" s="75"/>
      <c r="AE37" s="75"/>
      <c r="AF37" s="75"/>
      <c r="AG37" s="76"/>
      <c r="AH37" s="74">
        <v>5323</v>
      </c>
      <c r="AI37" s="75"/>
      <c r="AJ37" s="75"/>
      <c r="AK37" s="75"/>
      <c r="AL37" s="75"/>
      <c r="AM37" s="75"/>
      <c r="AN37" s="75"/>
      <c r="AO37" s="76"/>
    </row>
    <row r="38" spans="2:41" ht="19.25" hidden="1" customHeight="1" thickBot="1" x14ac:dyDescent="0.25">
      <c r="B38" s="122"/>
      <c r="C38" s="123"/>
      <c r="D38" s="123"/>
      <c r="E38" s="125"/>
      <c r="F38" s="125"/>
      <c r="G38" s="125"/>
      <c r="H38" s="8">
        <v>52.5</v>
      </c>
      <c r="I38" s="83" t="s">
        <v>18</v>
      </c>
      <c r="J38" s="84"/>
      <c r="K38" s="86"/>
      <c r="L38" s="9">
        <v>4.423</v>
      </c>
      <c r="M38" s="10" t="s">
        <v>6</v>
      </c>
      <c r="N38" s="77">
        <v>4009</v>
      </c>
      <c r="O38" s="78"/>
      <c r="P38" s="78"/>
      <c r="Q38" s="78"/>
      <c r="R38" s="78"/>
      <c r="S38" s="78"/>
      <c r="T38" s="78"/>
      <c r="U38" s="79"/>
      <c r="V38" s="42"/>
      <c r="W38" s="42"/>
      <c r="X38" s="74">
        <f t="shared" si="1"/>
        <v>2536.2331698617922</v>
      </c>
      <c r="Y38" s="75"/>
      <c r="Z38" s="75"/>
      <c r="AA38" s="75"/>
      <c r="AB38" s="76"/>
      <c r="AC38" s="74"/>
      <c r="AD38" s="75"/>
      <c r="AE38" s="75"/>
      <c r="AF38" s="75"/>
      <c r="AG38" s="76"/>
      <c r="AH38" s="74">
        <v>5253</v>
      </c>
      <c r="AI38" s="75"/>
      <c r="AJ38" s="75"/>
      <c r="AK38" s="75"/>
      <c r="AL38" s="75"/>
      <c r="AM38" s="75"/>
      <c r="AN38" s="75"/>
      <c r="AO38" s="76"/>
    </row>
    <row r="39" spans="2:41" ht="19.25" hidden="1" customHeight="1" thickBot="1" x14ac:dyDescent="0.25">
      <c r="B39" s="122"/>
      <c r="C39" s="123"/>
      <c r="D39" s="123"/>
      <c r="E39" s="125"/>
      <c r="F39" s="125"/>
      <c r="G39" s="125"/>
      <c r="H39" s="8">
        <v>50.5</v>
      </c>
      <c r="I39" s="83" t="s">
        <v>18</v>
      </c>
      <c r="J39" s="84"/>
      <c r="K39" s="86"/>
      <c r="L39" s="9">
        <v>7</v>
      </c>
      <c r="M39" s="10" t="s">
        <v>6</v>
      </c>
      <c r="N39" s="77">
        <v>3968</v>
      </c>
      <c r="O39" s="78"/>
      <c r="P39" s="78"/>
      <c r="Q39" s="78"/>
      <c r="R39" s="78"/>
      <c r="S39" s="78"/>
      <c r="T39" s="78"/>
      <c r="U39" s="79"/>
      <c r="V39" s="42"/>
      <c r="W39" s="42"/>
      <c r="X39" s="74">
        <f t="shared" si="1"/>
        <v>2510.2951404369146</v>
      </c>
      <c r="Y39" s="75"/>
      <c r="Z39" s="75"/>
      <c r="AA39" s="75"/>
      <c r="AB39" s="76"/>
      <c r="AC39" s="74"/>
      <c r="AD39" s="75"/>
      <c r="AE39" s="75"/>
      <c r="AF39" s="75"/>
      <c r="AG39" s="76"/>
      <c r="AH39" s="74">
        <v>5213</v>
      </c>
      <c r="AI39" s="75"/>
      <c r="AJ39" s="75"/>
      <c r="AK39" s="75"/>
      <c r="AL39" s="75"/>
      <c r="AM39" s="75"/>
      <c r="AN39" s="75"/>
      <c r="AO39" s="76"/>
    </row>
    <row r="40" spans="2:41" ht="19.25" hidden="1" customHeight="1" thickBot="1" x14ac:dyDescent="0.25">
      <c r="B40" s="122"/>
      <c r="C40" s="123"/>
      <c r="D40" s="123"/>
      <c r="E40" s="125"/>
      <c r="F40" s="125"/>
      <c r="G40" s="125"/>
      <c r="H40" s="8">
        <v>49.5</v>
      </c>
      <c r="I40" s="83" t="s">
        <v>18</v>
      </c>
      <c r="J40" s="84"/>
      <c r="K40" s="86"/>
      <c r="L40" s="9">
        <v>15.71</v>
      </c>
      <c r="M40" s="10" t="s">
        <v>6</v>
      </c>
      <c r="N40" s="77">
        <v>3807</v>
      </c>
      <c r="O40" s="78"/>
      <c r="P40" s="78"/>
      <c r="Q40" s="78"/>
      <c r="R40" s="78"/>
      <c r="S40" s="78"/>
      <c r="T40" s="78"/>
      <c r="U40" s="79"/>
      <c r="V40" s="42"/>
      <c r="W40" s="42"/>
      <c r="X40" s="74">
        <f>X39/N39*N40</f>
        <v>2408.4409273294696</v>
      </c>
      <c r="Y40" s="75"/>
      <c r="Z40" s="75"/>
      <c r="AA40" s="75"/>
      <c r="AB40" s="76"/>
      <c r="AC40" s="74"/>
      <c r="AD40" s="75"/>
      <c r="AE40" s="75"/>
      <c r="AF40" s="75"/>
      <c r="AG40" s="76"/>
      <c r="AH40" s="74">
        <v>5138</v>
      </c>
      <c r="AI40" s="75"/>
      <c r="AJ40" s="75"/>
      <c r="AK40" s="75"/>
      <c r="AL40" s="75"/>
      <c r="AM40" s="75"/>
      <c r="AN40" s="75"/>
      <c r="AO40" s="76"/>
    </row>
    <row r="41" spans="2:41" ht="19.25" hidden="1" customHeight="1" thickBot="1" x14ac:dyDescent="0.25">
      <c r="B41" s="122"/>
      <c r="C41" s="123"/>
      <c r="D41" s="123"/>
      <c r="E41" s="125"/>
      <c r="F41" s="125"/>
      <c r="G41" s="125"/>
      <c r="H41" s="8">
        <v>44.5</v>
      </c>
      <c r="I41" s="83" t="s">
        <v>18</v>
      </c>
      <c r="J41" s="84"/>
      <c r="K41" s="86"/>
      <c r="L41" s="9"/>
      <c r="M41" s="10" t="s">
        <v>6</v>
      </c>
      <c r="N41" s="74">
        <f>1.8441*H41^2-114.92*H41+5009.6</f>
        <v>3547.4390250000001</v>
      </c>
      <c r="O41" s="75"/>
      <c r="P41" s="75"/>
      <c r="Q41" s="75"/>
      <c r="R41" s="75"/>
      <c r="S41" s="75"/>
      <c r="T41" s="75"/>
      <c r="U41" s="76"/>
      <c r="V41" s="35"/>
      <c r="W41" s="35"/>
      <c r="X41" s="74"/>
      <c r="Y41" s="75"/>
      <c r="Z41" s="75"/>
      <c r="AA41" s="75"/>
      <c r="AB41" s="76"/>
      <c r="AC41" s="74"/>
      <c r="AD41" s="75"/>
      <c r="AE41" s="75"/>
      <c r="AF41" s="75"/>
      <c r="AG41" s="76"/>
      <c r="AH41" s="74">
        <v>5048</v>
      </c>
      <c r="AI41" s="75"/>
      <c r="AJ41" s="75"/>
      <c r="AK41" s="75"/>
      <c r="AL41" s="75"/>
      <c r="AM41" s="75"/>
      <c r="AN41" s="75"/>
      <c r="AO41" s="76"/>
    </row>
    <row r="42" spans="2:41" ht="19.25" hidden="1" customHeight="1" thickBot="1" x14ac:dyDescent="0.25">
      <c r="B42" s="122"/>
      <c r="C42" s="123"/>
      <c r="D42" s="123"/>
      <c r="E42" s="125"/>
      <c r="F42" s="125"/>
      <c r="G42" s="125"/>
      <c r="H42" s="8">
        <v>40.5</v>
      </c>
      <c r="I42" s="83" t="s">
        <v>18</v>
      </c>
      <c r="J42" s="84"/>
      <c r="K42" s="86"/>
      <c r="L42" s="9"/>
      <c r="M42" s="10" t="s">
        <v>6</v>
      </c>
      <c r="N42" s="74">
        <f>1.8441*H42^2-114.92*H42+5009.6</f>
        <v>3380.1250250000003</v>
      </c>
      <c r="O42" s="75"/>
      <c r="P42" s="75"/>
      <c r="Q42" s="75"/>
      <c r="R42" s="75"/>
      <c r="S42" s="75"/>
      <c r="T42" s="75"/>
      <c r="U42" s="76"/>
      <c r="V42" s="35"/>
      <c r="W42" s="35"/>
      <c r="X42" s="74"/>
      <c r="Y42" s="75"/>
      <c r="Z42" s="75"/>
      <c r="AA42" s="75"/>
      <c r="AB42" s="76"/>
      <c r="AC42" s="74"/>
      <c r="AD42" s="75"/>
      <c r="AE42" s="75"/>
      <c r="AF42" s="75"/>
      <c r="AG42" s="76"/>
      <c r="AH42" s="74">
        <v>4905</v>
      </c>
      <c r="AI42" s="75"/>
      <c r="AJ42" s="75"/>
      <c r="AK42" s="75"/>
      <c r="AL42" s="75"/>
      <c r="AM42" s="75"/>
      <c r="AN42" s="75"/>
      <c r="AO42" s="76"/>
    </row>
    <row r="43" spans="2:41" ht="19.25" hidden="1" customHeight="1" thickBot="1" x14ac:dyDescent="0.25">
      <c r="B43" s="122"/>
      <c r="C43" s="123"/>
      <c r="D43" s="123"/>
      <c r="E43" s="125"/>
      <c r="F43" s="125"/>
      <c r="G43" s="125"/>
      <c r="H43" s="8">
        <v>36.5</v>
      </c>
      <c r="I43" s="83" t="s">
        <v>18</v>
      </c>
      <c r="J43" s="84"/>
      <c r="K43" s="86"/>
      <c r="L43" s="9"/>
      <c r="M43" s="10" t="s">
        <v>6</v>
      </c>
      <c r="N43" s="74">
        <f>1.8441*H43^2-114.92*H43+5009.6</f>
        <v>3271.8222250000003</v>
      </c>
      <c r="O43" s="75"/>
      <c r="P43" s="75"/>
      <c r="Q43" s="75"/>
      <c r="R43" s="75"/>
      <c r="S43" s="75"/>
      <c r="T43" s="75"/>
      <c r="U43" s="76"/>
      <c r="V43" s="35"/>
      <c r="W43" s="35"/>
      <c r="X43" s="74"/>
      <c r="Y43" s="75"/>
      <c r="Z43" s="75"/>
      <c r="AA43" s="75"/>
      <c r="AB43" s="76"/>
      <c r="AC43" s="74"/>
      <c r="AD43" s="75"/>
      <c r="AE43" s="75"/>
      <c r="AF43" s="75"/>
      <c r="AG43" s="76"/>
      <c r="AH43" s="74">
        <v>4659</v>
      </c>
      <c r="AI43" s="75"/>
      <c r="AJ43" s="75"/>
      <c r="AK43" s="75"/>
      <c r="AL43" s="75"/>
      <c r="AM43" s="75"/>
      <c r="AN43" s="75"/>
      <c r="AO43" s="76"/>
    </row>
    <row r="44" spans="2:41" ht="19.25" hidden="1" customHeight="1" thickBot="1" x14ac:dyDescent="0.25">
      <c r="B44" s="122"/>
      <c r="C44" s="123"/>
      <c r="D44" s="123"/>
      <c r="E44" s="125"/>
      <c r="F44" s="125"/>
      <c r="G44" s="125"/>
      <c r="H44" s="8">
        <v>32.5</v>
      </c>
      <c r="I44" s="134" t="s">
        <v>18</v>
      </c>
      <c r="J44" s="135"/>
      <c r="K44" s="87"/>
      <c r="L44" s="9"/>
      <c r="M44" s="10" t="s">
        <v>6</v>
      </c>
      <c r="N44" s="80">
        <f>1.8441*H44^2-114.92*H44+5009.6</f>
        <v>3222.5306250000003</v>
      </c>
      <c r="O44" s="81"/>
      <c r="P44" s="81"/>
      <c r="Q44" s="81"/>
      <c r="R44" s="81"/>
      <c r="S44" s="81"/>
      <c r="T44" s="81"/>
      <c r="U44" s="82"/>
      <c r="V44" s="37"/>
      <c r="W44" s="37"/>
      <c r="X44" s="80"/>
      <c r="Y44" s="81"/>
      <c r="Z44" s="81"/>
      <c r="AA44" s="81"/>
      <c r="AB44" s="82"/>
      <c r="AC44" s="80"/>
      <c r="AD44" s="81"/>
      <c r="AE44" s="81"/>
      <c r="AF44" s="81"/>
      <c r="AG44" s="82"/>
      <c r="AH44" s="80">
        <v>4468</v>
      </c>
      <c r="AI44" s="81"/>
      <c r="AJ44" s="81"/>
      <c r="AK44" s="81"/>
      <c r="AL44" s="81"/>
      <c r="AM44" s="81"/>
      <c r="AN44" s="81"/>
      <c r="AO44" s="82"/>
    </row>
    <row r="45" spans="2:41" ht="19.25" customHeight="1" thickBot="1" x14ac:dyDescent="0.25">
      <c r="B45" s="112" t="s">
        <v>20</v>
      </c>
      <c r="C45" s="115">
        <v>31.8</v>
      </c>
      <c r="D45" s="118" t="s">
        <v>18</v>
      </c>
      <c r="E45" s="118" t="s">
        <v>21</v>
      </c>
      <c r="F45" s="118" t="s">
        <v>22</v>
      </c>
      <c r="G45" s="118">
        <v>170</v>
      </c>
      <c r="H45" s="118" t="s">
        <v>18</v>
      </c>
      <c r="I45" s="128" t="s">
        <v>23</v>
      </c>
      <c r="J45" s="131">
        <f>N23</f>
        <v>6.1</v>
      </c>
      <c r="K45" s="131"/>
      <c r="L45" s="118" t="s">
        <v>6</v>
      </c>
      <c r="M45" s="118" t="s">
        <v>21</v>
      </c>
      <c r="N45" s="162" t="s">
        <v>24</v>
      </c>
      <c r="O45" s="149"/>
      <c r="P45" s="149" t="s">
        <v>25</v>
      </c>
      <c r="Q45" s="142">
        <f>C45*J45/G45</f>
        <v>1.1410588235294117</v>
      </c>
      <c r="R45" s="136" t="s">
        <v>6</v>
      </c>
      <c r="S45" s="139" t="s">
        <v>26</v>
      </c>
      <c r="T45" s="142">
        <f>Q45*3.28</f>
        <v>3.7426729411764699</v>
      </c>
      <c r="U45" s="165" t="s">
        <v>7</v>
      </c>
      <c r="V45" s="152"/>
      <c r="W45" s="149" t="s">
        <v>51</v>
      </c>
      <c r="X45" s="149" t="s">
        <v>25</v>
      </c>
      <c r="Y45" s="43" t="s">
        <v>27</v>
      </c>
      <c r="Z45" s="126">
        <f>-0.3582*J45^3+5.1724*J45^2-24.373*J45+90.501</f>
        <v>52.986109799999994</v>
      </c>
      <c r="AA45" s="126"/>
      <c r="AB45" s="43" t="s">
        <v>18</v>
      </c>
      <c r="AC45" s="155"/>
      <c r="AD45" s="158" t="s">
        <v>28</v>
      </c>
      <c r="AE45" s="159"/>
      <c r="AF45" s="159"/>
      <c r="AG45" s="159"/>
      <c r="AH45" s="159"/>
      <c r="AI45" s="44" t="s">
        <v>29</v>
      </c>
      <c r="AJ45" s="160">
        <f>(-0.0102552842370431*Z46^3+3.45189622980303*Z46^2-196.404172403347*Z46+6331.88318675381)*3*3/J45/J45</f>
        <v>965.98524393167054</v>
      </c>
      <c r="AK45" s="160"/>
      <c r="AL45" s="46" t="s">
        <v>30</v>
      </c>
      <c r="AM45" s="47" t="s">
        <v>26</v>
      </c>
      <c r="AN45" s="45">
        <f>AJ45/10.76391</f>
        <v>89.742969230667171</v>
      </c>
      <c r="AO45" s="48" t="s">
        <v>31</v>
      </c>
    </row>
    <row r="46" spans="2:41" ht="19.25" customHeight="1" thickBot="1" x14ac:dyDescent="0.25">
      <c r="B46" s="113"/>
      <c r="C46" s="116"/>
      <c r="D46" s="119"/>
      <c r="E46" s="119"/>
      <c r="F46" s="119"/>
      <c r="G46" s="119"/>
      <c r="H46" s="119"/>
      <c r="I46" s="129"/>
      <c r="J46" s="132"/>
      <c r="K46" s="132"/>
      <c r="L46" s="119"/>
      <c r="M46" s="119"/>
      <c r="N46" s="163"/>
      <c r="O46" s="150"/>
      <c r="P46" s="150"/>
      <c r="Q46" s="143"/>
      <c r="R46" s="137"/>
      <c r="S46" s="140"/>
      <c r="T46" s="143"/>
      <c r="U46" s="166"/>
      <c r="V46" s="153"/>
      <c r="W46" s="150"/>
      <c r="X46" s="150"/>
      <c r="Y46" s="156" t="s">
        <v>32</v>
      </c>
      <c r="Z46" s="161">
        <f>IF(J45&gt;4.25,Z48,Z45)</f>
        <v>51.784738646194612</v>
      </c>
      <c r="AA46" s="161"/>
      <c r="AB46" s="156" t="s">
        <v>18</v>
      </c>
      <c r="AC46" s="156"/>
      <c r="AD46" s="64" t="s">
        <v>33</v>
      </c>
      <c r="AE46" s="65"/>
      <c r="AF46" s="65"/>
      <c r="AG46" s="65"/>
      <c r="AH46" s="65"/>
      <c r="AI46" s="49" t="s">
        <v>29</v>
      </c>
      <c r="AJ46" s="160">
        <f>298/512*AJ45</f>
        <v>562.23359900710511</v>
      </c>
      <c r="AK46" s="160"/>
      <c r="AL46" s="46" t="s">
        <v>30</v>
      </c>
      <c r="AM46" s="47" t="s">
        <v>26</v>
      </c>
      <c r="AN46" s="45">
        <f>AJ46/10.76391</f>
        <v>52.233212560036748</v>
      </c>
      <c r="AO46" s="48" t="s">
        <v>31</v>
      </c>
    </row>
    <row r="47" spans="2:41" ht="19.25" customHeight="1" thickBot="1" x14ac:dyDescent="0.25">
      <c r="B47" s="113"/>
      <c r="C47" s="116"/>
      <c r="D47" s="119"/>
      <c r="E47" s="119"/>
      <c r="F47" s="119"/>
      <c r="G47" s="119"/>
      <c r="H47" s="119"/>
      <c r="I47" s="129"/>
      <c r="J47" s="132"/>
      <c r="K47" s="132"/>
      <c r="L47" s="119"/>
      <c r="M47" s="119"/>
      <c r="N47" s="163"/>
      <c r="O47" s="150"/>
      <c r="P47" s="150"/>
      <c r="Q47" s="143"/>
      <c r="R47" s="137"/>
      <c r="S47" s="140"/>
      <c r="T47" s="143"/>
      <c r="U47" s="166"/>
      <c r="V47" s="153"/>
      <c r="W47" s="150"/>
      <c r="X47" s="150"/>
      <c r="Y47" s="156"/>
      <c r="Z47" s="161"/>
      <c r="AA47" s="161"/>
      <c r="AB47" s="156"/>
      <c r="AC47" s="156"/>
      <c r="AD47" s="64" t="s">
        <v>34</v>
      </c>
      <c r="AE47" s="65"/>
      <c r="AF47" s="65"/>
      <c r="AG47" s="65"/>
      <c r="AH47" s="65"/>
      <c r="AI47" s="49" t="s">
        <v>29</v>
      </c>
      <c r="AJ47" s="66">
        <f>AJ45/AJ46*AJ48</f>
        <v>2180.2656267482453</v>
      </c>
      <c r="AK47" s="66"/>
      <c r="AL47" s="46" t="s">
        <v>30</v>
      </c>
      <c r="AM47" s="47" t="s">
        <v>26</v>
      </c>
      <c r="AN47" s="45">
        <f>AJ47/10.76391</f>
        <v>202.55331257398524</v>
      </c>
      <c r="AO47" s="48" t="s">
        <v>31</v>
      </c>
    </row>
    <row r="48" spans="2:41" ht="19.25" customHeight="1" thickBot="1" x14ac:dyDescent="0.25">
      <c r="B48" s="114"/>
      <c r="C48" s="117"/>
      <c r="D48" s="120"/>
      <c r="E48" s="120"/>
      <c r="F48" s="120"/>
      <c r="G48" s="120"/>
      <c r="H48" s="120"/>
      <c r="I48" s="130"/>
      <c r="J48" s="133"/>
      <c r="K48" s="133"/>
      <c r="L48" s="120"/>
      <c r="M48" s="120"/>
      <c r="N48" s="164"/>
      <c r="O48" s="151"/>
      <c r="P48" s="151"/>
      <c r="Q48" s="144"/>
      <c r="R48" s="138"/>
      <c r="S48" s="141"/>
      <c r="T48" s="144"/>
      <c r="U48" s="167"/>
      <c r="V48" s="154"/>
      <c r="W48" s="151"/>
      <c r="X48" s="151"/>
      <c r="Y48" s="49" t="s">
        <v>35</v>
      </c>
      <c r="Z48" s="127">
        <f>57.511*J45^-0.058</f>
        <v>51.784738646194612</v>
      </c>
      <c r="AA48" s="127"/>
      <c r="AB48" s="49" t="s">
        <v>18</v>
      </c>
      <c r="AC48" s="157"/>
      <c r="AD48" s="64" t="s">
        <v>36</v>
      </c>
      <c r="AE48" s="65"/>
      <c r="AF48" s="65"/>
      <c r="AG48" s="65"/>
      <c r="AH48" s="65"/>
      <c r="AI48" s="49" t="s">
        <v>29</v>
      </c>
      <c r="AJ48" s="66">
        <f>(0.00868881739019485*Z46^3-2.045972991325*Z46^2+166.012407048668*Z46+929.624142100374)*3*3/J45/J45</f>
        <v>1268.9827280683146</v>
      </c>
      <c r="AK48" s="66"/>
      <c r="AL48" s="46" t="s">
        <v>30</v>
      </c>
      <c r="AM48" s="47" t="s">
        <v>26</v>
      </c>
      <c r="AN48" s="45">
        <f>AJ48/10.76391</f>
        <v>117.89235770907734</v>
      </c>
      <c r="AO48" s="48" t="s">
        <v>31</v>
      </c>
    </row>
    <row r="49" spans="2:41" x14ac:dyDescent="0.2"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2:41" ht="16" thickBot="1" x14ac:dyDescent="0.25"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</row>
    <row r="51" spans="2:41" ht="19.25" customHeight="1" x14ac:dyDescent="0.2">
      <c r="B51" s="11" t="s">
        <v>37</v>
      </c>
      <c r="C51" s="12"/>
      <c r="D51" s="12"/>
      <c r="E51" s="12"/>
      <c r="F51" s="12"/>
      <c r="G51" s="12"/>
      <c r="H51" s="12"/>
      <c r="I51" s="11" t="s">
        <v>37</v>
      </c>
      <c r="J51" s="12"/>
      <c r="K51" s="12"/>
      <c r="L51" s="12"/>
      <c r="M51" s="12"/>
      <c r="N51" s="68" t="s">
        <v>38</v>
      </c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70"/>
    </row>
    <row r="52" spans="2:41" ht="19.25" customHeight="1" thickBot="1" x14ac:dyDescent="0.25">
      <c r="B52" s="13"/>
      <c r="C52" s="4"/>
      <c r="D52" s="4"/>
      <c r="E52" s="4"/>
      <c r="F52" s="4"/>
      <c r="G52" s="4"/>
      <c r="H52" s="4"/>
      <c r="I52" s="13"/>
      <c r="J52" s="4"/>
      <c r="K52" s="4"/>
      <c r="L52" s="4"/>
      <c r="M52" s="4"/>
      <c r="N52" s="71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3"/>
    </row>
    <row r="53" spans="2:41" ht="19.25" hidden="1" customHeight="1" thickBot="1" x14ac:dyDescent="0.25">
      <c r="B53" s="145" t="s">
        <v>11</v>
      </c>
      <c r="C53" s="106"/>
      <c r="D53" s="106"/>
      <c r="E53" s="106"/>
      <c r="F53" s="106"/>
      <c r="G53" s="106"/>
      <c r="H53" s="106"/>
      <c r="I53" s="107"/>
      <c r="J53" s="106"/>
      <c r="K53" s="106"/>
      <c r="L53" s="106"/>
      <c r="M53" s="106"/>
      <c r="N53" s="94" t="s">
        <v>12</v>
      </c>
      <c r="O53" s="95"/>
      <c r="P53" s="95"/>
      <c r="Q53" s="95"/>
      <c r="R53" s="95"/>
      <c r="S53" s="95"/>
      <c r="T53" s="95"/>
      <c r="U53" s="95"/>
      <c r="V53" s="41"/>
      <c r="W53" s="41"/>
      <c r="X53" s="94" t="s">
        <v>13</v>
      </c>
      <c r="Y53" s="95"/>
      <c r="Z53" s="95"/>
      <c r="AA53" s="95"/>
      <c r="AB53" s="96"/>
      <c r="AC53" s="95" t="s">
        <v>14</v>
      </c>
      <c r="AD53" s="95"/>
      <c r="AE53" s="95"/>
      <c r="AF53" s="95"/>
      <c r="AG53" s="95"/>
      <c r="AH53" s="100" t="s">
        <v>15</v>
      </c>
      <c r="AI53" s="95"/>
      <c r="AJ53" s="95"/>
      <c r="AK53" s="95"/>
      <c r="AL53" s="95"/>
      <c r="AM53" s="95"/>
      <c r="AN53" s="95"/>
      <c r="AO53" s="147"/>
    </row>
    <row r="54" spans="2:41" ht="19.25" hidden="1" customHeight="1" thickBot="1" x14ac:dyDescent="0.25">
      <c r="B54" s="146"/>
      <c r="C54" s="123"/>
      <c r="D54" s="123"/>
      <c r="E54" s="123"/>
      <c r="F54" s="123"/>
      <c r="G54" s="123"/>
      <c r="H54" s="123"/>
      <c r="I54" s="146"/>
      <c r="J54" s="123"/>
      <c r="K54" s="123"/>
      <c r="L54" s="123"/>
      <c r="M54" s="123"/>
      <c r="N54" s="97"/>
      <c r="O54" s="98"/>
      <c r="P54" s="98"/>
      <c r="Q54" s="98"/>
      <c r="R54" s="98"/>
      <c r="S54" s="98"/>
      <c r="T54" s="98"/>
      <c r="U54" s="98"/>
      <c r="V54" s="33"/>
      <c r="W54" s="33"/>
      <c r="X54" s="97"/>
      <c r="Y54" s="98"/>
      <c r="Z54" s="98"/>
      <c r="AA54" s="98"/>
      <c r="AB54" s="99"/>
      <c r="AC54" s="98"/>
      <c r="AD54" s="98"/>
      <c r="AE54" s="98"/>
      <c r="AF54" s="98"/>
      <c r="AG54" s="98"/>
      <c r="AH54" s="97"/>
      <c r="AI54" s="98"/>
      <c r="AJ54" s="98"/>
      <c r="AK54" s="98"/>
      <c r="AL54" s="98"/>
      <c r="AM54" s="98"/>
      <c r="AN54" s="98"/>
      <c r="AO54" s="148"/>
    </row>
    <row r="55" spans="2:41" ht="19.25" hidden="1" customHeight="1" thickBot="1" x14ac:dyDescent="0.25">
      <c r="B55" s="7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38"/>
      <c r="O55" s="33"/>
      <c r="P55" s="33"/>
      <c r="Q55" s="33"/>
      <c r="R55" s="33"/>
      <c r="S55" s="33"/>
      <c r="T55" s="33"/>
      <c r="U55" s="33"/>
      <c r="V55" s="33"/>
      <c r="W55" s="33"/>
      <c r="X55" s="39"/>
      <c r="Y55" s="34"/>
      <c r="Z55" s="34"/>
      <c r="AA55" s="34"/>
      <c r="AB55" s="40"/>
      <c r="AC55" s="34"/>
      <c r="AD55" s="34"/>
      <c r="AE55" s="34"/>
      <c r="AF55" s="34"/>
      <c r="AG55" s="34"/>
      <c r="AH55" s="39"/>
      <c r="AI55" s="34"/>
      <c r="AJ55" s="34"/>
      <c r="AK55" s="34"/>
      <c r="AL55" s="34"/>
      <c r="AM55" s="34"/>
      <c r="AN55" s="34"/>
      <c r="AO55" s="51"/>
    </row>
    <row r="56" spans="2:41" ht="19.25" hidden="1" customHeight="1" thickBot="1" x14ac:dyDescent="0.25">
      <c r="B56" s="107" t="s">
        <v>16</v>
      </c>
      <c r="C56" s="106"/>
      <c r="D56" s="106"/>
      <c r="E56" s="124" t="s">
        <v>17</v>
      </c>
      <c r="F56" s="124"/>
      <c r="G56" s="124"/>
      <c r="H56" s="8">
        <f t="shared" ref="H56:H64" si="2">+H57+0.5</f>
        <v>15.8</v>
      </c>
      <c r="I56" s="172" t="s">
        <v>18</v>
      </c>
      <c r="J56" s="85"/>
      <c r="K56" s="85" t="s">
        <v>19</v>
      </c>
      <c r="L56" s="9">
        <v>1.24</v>
      </c>
      <c r="M56" s="10" t="s">
        <v>6</v>
      </c>
      <c r="N56" s="77">
        <v>1615</v>
      </c>
      <c r="O56" s="78"/>
      <c r="P56" s="78"/>
      <c r="Q56" s="78"/>
      <c r="R56" s="78"/>
      <c r="S56" s="78"/>
      <c r="T56" s="78"/>
      <c r="U56" s="79"/>
      <c r="V56" s="52"/>
      <c r="W56" s="52"/>
      <c r="X56" s="80">
        <f t="shared" ref="X56:X60" si="3">X57/N57*N56</f>
        <v>941.9395861148198</v>
      </c>
      <c r="Y56" s="81"/>
      <c r="Z56" s="81"/>
      <c r="AA56" s="81"/>
      <c r="AB56" s="82"/>
      <c r="AC56" s="168"/>
      <c r="AD56" s="169"/>
      <c r="AE56" s="169"/>
      <c r="AF56" s="169"/>
      <c r="AG56" s="170"/>
      <c r="AH56" s="80">
        <v>2397</v>
      </c>
      <c r="AI56" s="81"/>
      <c r="AJ56" s="81"/>
      <c r="AK56" s="81"/>
      <c r="AL56" s="81"/>
      <c r="AM56" s="81"/>
      <c r="AN56" s="81"/>
      <c r="AO56" s="171"/>
    </row>
    <row r="57" spans="2:41" ht="19.25" hidden="1" customHeight="1" thickBot="1" x14ac:dyDescent="0.25">
      <c r="B57" s="146"/>
      <c r="C57" s="123"/>
      <c r="D57" s="123"/>
      <c r="E57" s="125"/>
      <c r="F57" s="125"/>
      <c r="G57" s="125"/>
      <c r="H57" s="8">
        <f t="shared" si="2"/>
        <v>15.3</v>
      </c>
      <c r="I57" s="172" t="s">
        <v>18</v>
      </c>
      <c r="J57" s="85"/>
      <c r="K57" s="86"/>
      <c r="L57" s="9">
        <v>1.415</v>
      </c>
      <c r="M57" s="10" t="s">
        <v>6</v>
      </c>
      <c r="N57" s="77">
        <v>1595</v>
      </c>
      <c r="O57" s="78"/>
      <c r="P57" s="78"/>
      <c r="Q57" s="78"/>
      <c r="R57" s="78"/>
      <c r="S57" s="78"/>
      <c r="T57" s="78"/>
      <c r="U57" s="79"/>
      <c r="V57" s="52"/>
      <c r="W57" s="52"/>
      <c r="X57" s="80">
        <f t="shared" si="3"/>
        <v>930.27469959946598</v>
      </c>
      <c r="Y57" s="81"/>
      <c r="Z57" s="81"/>
      <c r="AA57" s="81"/>
      <c r="AB57" s="82"/>
      <c r="AC57" s="168"/>
      <c r="AD57" s="169"/>
      <c r="AE57" s="169"/>
      <c r="AF57" s="169"/>
      <c r="AG57" s="170"/>
      <c r="AH57" s="80">
        <v>2384</v>
      </c>
      <c r="AI57" s="81"/>
      <c r="AJ57" s="81"/>
      <c r="AK57" s="81"/>
      <c r="AL57" s="81"/>
      <c r="AM57" s="81"/>
      <c r="AN57" s="81"/>
      <c r="AO57" s="171"/>
    </row>
    <row r="58" spans="2:41" ht="19.25" hidden="1" customHeight="1" thickBot="1" x14ac:dyDescent="0.25">
      <c r="B58" s="146"/>
      <c r="C58" s="123"/>
      <c r="D58" s="123"/>
      <c r="E58" s="125"/>
      <c r="F58" s="125"/>
      <c r="G58" s="125"/>
      <c r="H58" s="8">
        <f t="shared" si="2"/>
        <v>14.8</v>
      </c>
      <c r="I58" s="172" t="s">
        <v>18</v>
      </c>
      <c r="J58" s="85"/>
      <c r="K58" s="86"/>
      <c r="L58" s="9">
        <v>1.5629999999999999</v>
      </c>
      <c r="M58" s="10" t="s">
        <v>6</v>
      </c>
      <c r="N58" s="77">
        <v>1570</v>
      </c>
      <c r="O58" s="78"/>
      <c r="P58" s="78"/>
      <c r="Q58" s="78"/>
      <c r="R58" s="78"/>
      <c r="S58" s="78"/>
      <c r="T58" s="78"/>
      <c r="U58" s="79"/>
      <c r="V58" s="52"/>
      <c r="W58" s="52"/>
      <c r="X58" s="80">
        <f t="shared" si="3"/>
        <v>915.69359145527369</v>
      </c>
      <c r="Y58" s="81"/>
      <c r="Z58" s="81"/>
      <c r="AA58" s="81"/>
      <c r="AB58" s="82"/>
      <c r="AC58" s="168"/>
      <c r="AD58" s="169"/>
      <c r="AE58" s="169"/>
      <c r="AF58" s="169"/>
      <c r="AG58" s="170"/>
      <c r="AH58" s="80">
        <v>2364</v>
      </c>
      <c r="AI58" s="81"/>
      <c r="AJ58" s="81"/>
      <c r="AK58" s="81"/>
      <c r="AL58" s="81"/>
      <c r="AM58" s="81"/>
      <c r="AN58" s="81"/>
      <c r="AO58" s="171"/>
    </row>
    <row r="59" spans="2:41" ht="19.25" hidden="1" customHeight="1" thickBot="1" x14ac:dyDescent="0.25">
      <c r="B59" s="146"/>
      <c r="C59" s="123"/>
      <c r="D59" s="123"/>
      <c r="E59" s="125"/>
      <c r="F59" s="125"/>
      <c r="G59" s="125"/>
      <c r="H59" s="8">
        <f t="shared" si="2"/>
        <v>14.3</v>
      </c>
      <c r="I59" s="172" t="s">
        <v>18</v>
      </c>
      <c r="J59" s="85"/>
      <c r="K59" s="86"/>
      <c r="L59" s="9">
        <v>1.7</v>
      </c>
      <c r="M59" s="10" t="s">
        <v>6</v>
      </c>
      <c r="N59" s="77">
        <v>1544</v>
      </c>
      <c r="O59" s="78"/>
      <c r="P59" s="78"/>
      <c r="Q59" s="78"/>
      <c r="R59" s="78"/>
      <c r="S59" s="78"/>
      <c r="T59" s="78"/>
      <c r="U59" s="79"/>
      <c r="V59" s="52"/>
      <c r="W59" s="52"/>
      <c r="X59" s="80">
        <f t="shared" si="3"/>
        <v>900.52923898531378</v>
      </c>
      <c r="Y59" s="81"/>
      <c r="Z59" s="81"/>
      <c r="AA59" s="81"/>
      <c r="AB59" s="82"/>
      <c r="AC59" s="168"/>
      <c r="AD59" s="169"/>
      <c r="AE59" s="169"/>
      <c r="AF59" s="169"/>
      <c r="AG59" s="170"/>
      <c r="AH59" s="80">
        <v>2350</v>
      </c>
      <c r="AI59" s="81"/>
      <c r="AJ59" s="81"/>
      <c r="AK59" s="81"/>
      <c r="AL59" s="81"/>
      <c r="AM59" s="81"/>
      <c r="AN59" s="81"/>
      <c r="AO59" s="171"/>
    </row>
    <row r="60" spans="2:41" ht="19.25" hidden="1" customHeight="1" thickBot="1" x14ac:dyDescent="0.25">
      <c r="B60" s="146"/>
      <c r="C60" s="123"/>
      <c r="D60" s="123"/>
      <c r="E60" s="125"/>
      <c r="F60" s="125"/>
      <c r="G60" s="125"/>
      <c r="H60" s="8">
        <f t="shared" si="2"/>
        <v>13.8</v>
      </c>
      <c r="I60" s="172" t="s">
        <v>18</v>
      </c>
      <c r="J60" s="85"/>
      <c r="K60" s="86"/>
      <c r="L60" s="9">
        <v>1.81</v>
      </c>
      <c r="M60" s="10" t="s">
        <v>6</v>
      </c>
      <c r="N60" s="77">
        <v>1518</v>
      </c>
      <c r="O60" s="78"/>
      <c r="P60" s="78"/>
      <c r="Q60" s="78"/>
      <c r="R60" s="78"/>
      <c r="S60" s="78"/>
      <c r="T60" s="78"/>
      <c r="U60" s="79"/>
      <c r="V60" s="52"/>
      <c r="W60" s="52"/>
      <c r="X60" s="80">
        <f t="shared" si="3"/>
        <v>885.36488651535376</v>
      </c>
      <c r="Y60" s="81"/>
      <c r="Z60" s="81"/>
      <c r="AA60" s="81"/>
      <c r="AB60" s="82"/>
      <c r="AC60" s="168"/>
      <c r="AD60" s="169"/>
      <c r="AE60" s="169"/>
      <c r="AF60" s="169"/>
      <c r="AG60" s="170"/>
      <c r="AH60" s="80">
        <v>2328</v>
      </c>
      <c r="AI60" s="81"/>
      <c r="AJ60" s="81"/>
      <c r="AK60" s="81"/>
      <c r="AL60" s="81"/>
      <c r="AM60" s="81"/>
      <c r="AN60" s="81"/>
      <c r="AO60" s="171"/>
    </row>
    <row r="61" spans="2:41" ht="19.25" hidden="1" customHeight="1" thickBot="1" x14ac:dyDescent="0.25">
      <c r="B61" s="146"/>
      <c r="C61" s="123"/>
      <c r="D61" s="123"/>
      <c r="E61" s="125"/>
      <c r="F61" s="125"/>
      <c r="G61" s="125"/>
      <c r="H61" s="8">
        <f t="shared" si="2"/>
        <v>13.3</v>
      </c>
      <c r="I61" s="172" t="s">
        <v>18</v>
      </c>
      <c r="J61" s="85"/>
      <c r="K61" s="86"/>
      <c r="L61" s="9">
        <v>2.12</v>
      </c>
      <c r="M61" s="10" t="s">
        <v>6</v>
      </c>
      <c r="N61" s="77">
        <v>1498</v>
      </c>
      <c r="O61" s="78"/>
      <c r="P61" s="78"/>
      <c r="Q61" s="78"/>
      <c r="R61" s="78"/>
      <c r="S61" s="78"/>
      <c r="T61" s="78"/>
      <c r="U61" s="79"/>
      <c r="V61" s="52"/>
      <c r="W61" s="52"/>
      <c r="X61" s="80">
        <v>873.7</v>
      </c>
      <c r="Y61" s="81"/>
      <c r="Z61" s="81"/>
      <c r="AA61" s="81"/>
      <c r="AB61" s="82"/>
      <c r="AC61" s="168"/>
      <c r="AD61" s="169"/>
      <c r="AE61" s="169"/>
      <c r="AF61" s="169"/>
      <c r="AG61" s="170"/>
      <c r="AH61" s="80">
        <v>2313</v>
      </c>
      <c r="AI61" s="81"/>
      <c r="AJ61" s="81"/>
      <c r="AK61" s="81"/>
      <c r="AL61" s="81"/>
      <c r="AM61" s="81"/>
      <c r="AN61" s="81"/>
      <c r="AO61" s="171"/>
    </row>
    <row r="62" spans="2:41" ht="19.25" hidden="1" customHeight="1" thickBot="1" x14ac:dyDescent="0.25">
      <c r="B62" s="146"/>
      <c r="C62" s="123"/>
      <c r="D62" s="123"/>
      <c r="E62" s="125"/>
      <c r="F62" s="125"/>
      <c r="G62" s="125"/>
      <c r="H62" s="8">
        <f t="shared" si="2"/>
        <v>12.8</v>
      </c>
      <c r="I62" s="172" t="s">
        <v>18</v>
      </c>
      <c r="J62" s="85"/>
      <c r="K62" s="86"/>
      <c r="L62" s="9">
        <v>2.4900000000000002</v>
      </c>
      <c r="M62" s="10" t="s">
        <v>6</v>
      </c>
      <c r="N62" s="77">
        <v>1473</v>
      </c>
      <c r="O62" s="78"/>
      <c r="P62" s="78"/>
      <c r="Q62" s="78"/>
      <c r="R62" s="78"/>
      <c r="S62" s="78"/>
      <c r="T62" s="78"/>
      <c r="U62" s="79"/>
      <c r="V62" s="52"/>
      <c r="W62" s="52"/>
      <c r="X62" s="80">
        <f t="shared" ref="X62:X70" si="4">X61/N61*N62</f>
        <v>859.11889185580776</v>
      </c>
      <c r="Y62" s="81"/>
      <c r="Z62" s="81"/>
      <c r="AA62" s="81"/>
      <c r="AB62" s="82"/>
      <c r="AC62" s="168"/>
      <c r="AD62" s="169"/>
      <c r="AE62" s="169"/>
      <c r="AF62" s="169"/>
      <c r="AG62" s="170"/>
      <c r="AH62" s="80">
        <v>2298</v>
      </c>
      <c r="AI62" s="81"/>
      <c r="AJ62" s="81"/>
      <c r="AK62" s="81"/>
      <c r="AL62" s="81"/>
      <c r="AM62" s="81"/>
      <c r="AN62" s="81"/>
      <c r="AO62" s="171"/>
    </row>
    <row r="63" spans="2:41" ht="19.25" hidden="1" customHeight="1" thickBot="1" x14ac:dyDescent="0.25">
      <c r="B63" s="146"/>
      <c r="C63" s="123"/>
      <c r="D63" s="123"/>
      <c r="E63" s="125"/>
      <c r="F63" s="125"/>
      <c r="G63" s="125"/>
      <c r="H63" s="8">
        <f t="shared" si="2"/>
        <v>12.3</v>
      </c>
      <c r="I63" s="172" t="s">
        <v>18</v>
      </c>
      <c r="J63" s="85"/>
      <c r="K63" s="86"/>
      <c r="L63" s="9">
        <v>2.89</v>
      </c>
      <c r="M63" s="10" t="s">
        <v>6</v>
      </c>
      <c r="N63" s="77">
        <v>1455</v>
      </c>
      <c r="O63" s="78"/>
      <c r="P63" s="78"/>
      <c r="Q63" s="78"/>
      <c r="R63" s="78"/>
      <c r="S63" s="78"/>
      <c r="T63" s="78"/>
      <c r="U63" s="79"/>
      <c r="V63" s="52"/>
      <c r="W63" s="52"/>
      <c r="X63" s="80">
        <f t="shared" si="4"/>
        <v>848.62049399198929</v>
      </c>
      <c r="Y63" s="81"/>
      <c r="Z63" s="81"/>
      <c r="AA63" s="81"/>
      <c r="AB63" s="82"/>
      <c r="AC63" s="168"/>
      <c r="AD63" s="169"/>
      <c r="AE63" s="169"/>
      <c r="AF63" s="169"/>
      <c r="AG63" s="170"/>
      <c r="AH63" s="80">
        <v>2280</v>
      </c>
      <c r="AI63" s="81"/>
      <c r="AJ63" s="81"/>
      <c r="AK63" s="81"/>
      <c r="AL63" s="81"/>
      <c r="AM63" s="81"/>
      <c r="AN63" s="81"/>
      <c r="AO63" s="171"/>
    </row>
    <row r="64" spans="2:41" ht="19.25" hidden="1" customHeight="1" thickBot="1" x14ac:dyDescent="0.25">
      <c r="B64" s="146"/>
      <c r="C64" s="123"/>
      <c r="D64" s="123"/>
      <c r="E64" s="125"/>
      <c r="F64" s="125"/>
      <c r="G64" s="125"/>
      <c r="H64" s="8">
        <f t="shared" si="2"/>
        <v>11.8</v>
      </c>
      <c r="I64" s="172" t="s">
        <v>18</v>
      </c>
      <c r="J64" s="85"/>
      <c r="K64" s="86"/>
      <c r="L64" s="9">
        <v>3.65</v>
      </c>
      <c r="M64" s="10" t="s">
        <v>6</v>
      </c>
      <c r="N64" s="77">
        <v>1438</v>
      </c>
      <c r="O64" s="78"/>
      <c r="P64" s="78"/>
      <c r="Q64" s="78"/>
      <c r="R64" s="78"/>
      <c r="S64" s="78"/>
      <c r="T64" s="78"/>
      <c r="U64" s="79"/>
      <c r="V64" s="52"/>
      <c r="W64" s="52"/>
      <c r="X64" s="80">
        <f t="shared" si="4"/>
        <v>838.70534045393856</v>
      </c>
      <c r="Y64" s="81"/>
      <c r="Z64" s="81"/>
      <c r="AA64" s="81"/>
      <c r="AB64" s="82"/>
      <c r="AC64" s="168"/>
      <c r="AD64" s="169"/>
      <c r="AE64" s="169"/>
      <c r="AF64" s="169"/>
      <c r="AG64" s="170"/>
      <c r="AH64" s="80">
        <v>2266</v>
      </c>
      <c r="AI64" s="81"/>
      <c r="AJ64" s="81"/>
      <c r="AK64" s="81"/>
      <c r="AL64" s="81"/>
      <c r="AM64" s="81"/>
      <c r="AN64" s="81"/>
      <c r="AO64" s="171"/>
    </row>
    <row r="65" spans="2:41" ht="19.25" hidden="1" customHeight="1" thickBot="1" x14ac:dyDescent="0.25">
      <c r="B65" s="146"/>
      <c r="C65" s="123"/>
      <c r="D65" s="123"/>
      <c r="E65" s="125"/>
      <c r="F65" s="125"/>
      <c r="G65" s="125"/>
      <c r="H65" s="8">
        <f>+H66+0.5</f>
        <v>11.3</v>
      </c>
      <c r="I65" s="172" t="s">
        <v>18</v>
      </c>
      <c r="J65" s="85"/>
      <c r="K65" s="86"/>
      <c r="L65" s="9">
        <v>4.5</v>
      </c>
      <c r="M65" s="10" t="s">
        <v>6</v>
      </c>
      <c r="N65" s="77">
        <v>1411</v>
      </c>
      <c r="O65" s="78"/>
      <c r="P65" s="78"/>
      <c r="Q65" s="78"/>
      <c r="R65" s="78"/>
      <c r="S65" s="78"/>
      <c r="T65" s="78"/>
      <c r="U65" s="79"/>
      <c r="V65" s="52"/>
      <c r="W65" s="52"/>
      <c r="X65" s="80">
        <f t="shared" si="4"/>
        <v>822.95774365821092</v>
      </c>
      <c r="Y65" s="81"/>
      <c r="Z65" s="81"/>
      <c r="AA65" s="81"/>
      <c r="AB65" s="82"/>
      <c r="AC65" s="168"/>
      <c r="AD65" s="169"/>
      <c r="AE65" s="169"/>
      <c r="AF65" s="169"/>
      <c r="AG65" s="170"/>
      <c r="AH65" s="80">
        <v>2245</v>
      </c>
      <c r="AI65" s="81"/>
      <c r="AJ65" s="81"/>
      <c r="AK65" s="81"/>
      <c r="AL65" s="81"/>
      <c r="AM65" s="81"/>
      <c r="AN65" s="81"/>
      <c r="AO65" s="171"/>
    </row>
    <row r="66" spans="2:41" ht="19.25" hidden="1" customHeight="1" thickBot="1" x14ac:dyDescent="0.25">
      <c r="B66" s="146"/>
      <c r="C66" s="123"/>
      <c r="D66" s="123"/>
      <c r="E66" s="125"/>
      <c r="F66" s="125"/>
      <c r="G66" s="125"/>
      <c r="H66" s="8">
        <v>10.8</v>
      </c>
      <c r="I66" s="172" t="s">
        <v>18</v>
      </c>
      <c r="J66" s="85"/>
      <c r="K66" s="86"/>
      <c r="L66" s="9">
        <v>6.27</v>
      </c>
      <c r="M66" s="10" t="s">
        <v>6</v>
      </c>
      <c r="N66" s="77">
        <v>1396</v>
      </c>
      <c r="O66" s="78"/>
      <c r="P66" s="78"/>
      <c r="Q66" s="78"/>
      <c r="R66" s="78"/>
      <c r="S66" s="78"/>
      <c r="T66" s="78"/>
      <c r="U66" s="79"/>
      <c r="V66" s="52"/>
      <c r="W66" s="52"/>
      <c r="X66" s="80">
        <f t="shared" si="4"/>
        <v>814.20907877169554</v>
      </c>
      <c r="Y66" s="81"/>
      <c r="Z66" s="81"/>
      <c r="AA66" s="81"/>
      <c r="AB66" s="82"/>
      <c r="AC66" s="168"/>
      <c r="AD66" s="169"/>
      <c r="AE66" s="169"/>
      <c r="AF66" s="169"/>
      <c r="AG66" s="170"/>
      <c r="AH66" s="80">
        <v>2227</v>
      </c>
      <c r="AI66" s="81"/>
      <c r="AJ66" s="81"/>
      <c r="AK66" s="81"/>
      <c r="AL66" s="81"/>
      <c r="AM66" s="81"/>
      <c r="AN66" s="81"/>
      <c r="AO66" s="171"/>
    </row>
    <row r="67" spans="2:41" ht="19.25" hidden="1" customHeight="1" thickBot="1" x14ac:dyDescent="0.25">
      <c r="B67" s="146"/>
      <c r="C67" s="123"/>
      <c r="D67" s="123"/>
      <c r="E67" s="125"/>
      <c r="F67" s="125"/>
      <c r="G67" s="125"/>
      <c r="H67" s="8">
        <f>H66-1.5</f>
        <v>9.3000000000000007</v>
      </c>
      <c r="I67" s="172" t="s">
        <v>18</v>
      </c>
      <c r="J67" s="85"/>
      <c r="K67" s="86"/>
      <c r="L67" s="9"/>
      <c r="M67" s="10" t="s">
        <v>6</v>
      </c>
      <c r="N67" s="77">
        <f>1.3986*H67^2+7.3427*H67+1152.6</f>
        <v>1341.8520239999998</v>
      </c>
      <c r="O67" s="78"/>
      <c r="P67" s="78"/>
      <c r="Q67" s="78"/>
      <c r="R67" s="78"/>
      <c r="S67" s="78"/>
      <c r="T67" s="78"/>
      <c r="U67" s="79"/>
      <c r="V67" s="42"/>
      <c r="W67" s="42"/>
      <c r="X67" s="74">
        <f t="shared" si="4"/>
        <v>782.62757901789041</v>
      </c>
      <c r="Y67" s="75"/>
      <c r="Z67" s="75"/>
      <c r="AA67" s="75"/>
      <c r="AB67" s="76"/>
      <c r="AC67" s="53"/>
      <c r="AD67" s="54"/>
      <c r="AE67" s="54"/>
      <c r="AF67" s="54"/>
      <c r="AG67" s="55"/>
      <c r="AH67" s="80">
        <v>2173</v>
      </c>
      <c r="AI67" s="81"/>
      <c r="AJ67" s="81"/>
      <c r="AK67" s="81"/>
      <c r="AL67" s="81"/>
      <c r="AM67" s="81"/>
      <c r="AN67" s="81"/>
      <c r="AO67" s="171"/>
    </row>
    <row r="68" spans="2:41" ht="19.25" hidden="1" customHeight="1" thickBot="1" x14ac:dyDescent="0.25">
      <c r="B68" s="146"/>
      <c r="C68" s="123"/>
      <c r="D68" s="123"/>
      <c r="E68" s="125"/>
      <c r="F68" s="125"/>
      <c r="G68" s="125"/>
      <c r="H68" s="8">
        <f t="shared" ref="H68:H70" si="5">H67-1.5</f>
        <v>7.8000000000000007</v>
      </c>
      <c r="I68" s="172" t="s">
        <v>18</v>
      </c>
      <c r="J68" s="85"/>
      <c r="K68" s="86"/>
      <c r="L68" s="9"/>
      <c r="M68" s="10" t="s">
        <v>6</v>
      </c>
      <c r="N68" s="77">
        <f>1.3986*H68^2+7.3427*H68+1152.6</f>
        <v>1294.963884</v>
      </c>
      <c r="O68" s="78"/>
      <c r="P68" s="78"/>
      <c r="Q68" s="78"/>
      <c r="R68" s="78"/>
      <c r="S68" s="78"/>
      <c r="T68" s="78"/>
      <c r="U68" s="79"/>
      <c r="V68" s="42"/>
      <c r="W68" s="42"/>
      <c r="X68" s="74">
        <f t="shared" si="4"/>
        <v>755.28033741708941</v>
      </c>
      <c r="Y68" s="75"/>
      <c r="Z68" s="75"/>
      <c r="AA68" s="75"/>
      <c r="AB68" s="76"/>
      <c r="AC68" s="53"/>
      <c r="AD68" s="54"/>
      <c r="AE68" s="54"/>
      <c r="AF68" s="54"/>
      <c r="AG68" s="55"/>
      <c r="AH68" s="80">
        <v>2112</v>
      </c>
      <c r="AI68" s="81"/>
      <c r="AJ68" s="81"/>
      <c r="AK68" s="81"/>
      <c r="AL68" s="81"/>
      <c r="AM68" s="81"/>
      <c r="AN68" s="81"/>
      <c r="AO68" s="171"/>
    </row>
    <row r="69" spans="2:41" ht="19.25" hidden="1" customHeight="1" thickBot="1" x14ac:dyDescent="0.25">
      <c r="B69" s="146"/>
      <c r="C69" s="123"/>
      <c r="D69" s="123"/>
      <c r="E69" s="125"/>
      <c r="F69" s="125"/>
      <c r="G69" s="125"/>
      <c r="H69" s="8">
        <f t="shared" si="5"/>
        <v>6.3000000000000007</v>
      </c>
      <c r="I69" s="172" t="s">
        <v>18</v>
      </c>
      <c r="J69" s="85"/>
      <c r="K69" s="86"/>
      <c r="L69" s="9"/>
      <c r="M69" s="10" t="s">
        <v>6</v>
      </c>
      <c r="N69" s="77">
        <f>1.3986*H69^2+7.3427*H69+1152.6</f>
        <v>1254.3694439999999</v>
      </c>
      <c r="O69" s="78"/>
      <c r="P69" s="78"/>
      <c r="Q69" s="78"/>
      <c r="R69" s="78"/>
      <c r="S69" s="78"/>
      <c r="T69" s="78"/>
      <c r="U69" s="79"/>
      <c r="V69" s="42"/>
      <c r="W69" s="42"/>
      <c r="X69" s="74">
        <f t="shared" si="4"/>
        <v>731.60386062937243</v>
      </c>
      <c r="Y69" s="75"/>
      <c r="Z69" s="75"/>
      <c r="AA69" s="75"/>
      <c r="AB69" s="76"/>
      <c r="AC69" s="53"/>
      <c r="AD69" s="54"/>
      <c r="AE69" s="54"/>
      <c r="AF69" s="54"/>
      <c r="AG69" s="55"/>
      <c r="AH69" s="80">
        <v>2059</v>
      </c>
      <c r="AI69" s="81"/>
      <c r="AJ69" s="81"/>
      <c r="AK69" s="81"/>
      <c r="AL69" s="81"/>
      <c r="AM69" s="81"/>
      <c r="AN69" s="81"/>
      <c r="AO69" s="171"/>
    </row>
    <row r="70" spans="2:41" ht="19.25" hidden="1" customHeight="1" thickBot="1" x14ac:dyDescent="0.25">
      <c r="B70" s="146"/>
      <c r="C70" s="123"/>
      <c r="D70" s="123"/>
      <c r="E70" s="125"/>
      <c r="F70" s="125"/>
      <c r="G70" s="125"/>
      <c r="H70" s="8">
        <f t="shared" si="5"/>
        <v>4.8000000000000007</v>
      </c>
      <c r="I70" s="172" t="s">
        <v>18</v>
      </c>
      <c r="J70" s="85"/>
      <c r="K70" s="86"/>
      <c r="L70" s="9"/>
      <c r="M70" s="10" t="s">
        <v>6</v>
      </c>
      <c r="N70" s="177">
        <f>1.3986*H70^2+7.3427*H70+1152.6</f>
        <v>1220.068704</v>
      </c>
      <c r="O70" s="178"/>
      <c r="P70" s="178"/>
      <c r="Q70" s="178"/>
      <c r="R70" s="178"/>
      <c r="S70" s="178"/>
      <c r="T70" s="178"/>
      <c r="U70" s="179"/>
      <c r="V70" s="52"/>
      <c r="W70" s="52"/>
      <c r="X70" s="80">
        <f t="shared" si="4"/>
        <v>711.5981486547397</v>
      </c>
      <c r="Y70" s="81"/>
      <c r="Z70" s="81"/>
      <c r="AA70" s="81"/>
      <c r="AB70" s="82"/>
      <c r="AC70" s="53"/>
      <c r="AD70" s="54"/>
      <c r="AE70" s="54"/>
      <c r="AF70" s="54"/>
      <c r="AG70" s="55"/>
      <c r="AH70" s="80">
        <v>1989</v>
      </c>
      <c r="AI70" s="81"/>
      <c r="AJ70" s="81"/>
      <c r="AK70" s="81"/>
      <c r="AL70" s="81"/>
      <c r="AM70" s="81"/>
      <c r="AN70" s="81"/>
      <c r="AO70" s="171"/>
    </row>
    <row r="71" spans="2:41" ht="19.25" customHeight="1" thickBot="1" x14ac:dyDescent="0.25">
      <c r="B71" s="128" t="s">
        <v>20</v>
      </c>
      <c r="C71" s="115">
        <v>31.8</v>
      </c>
      <c r="D71" s="118" t="s">
        <v>18</v>
      </c>
      <c r="E71" s="118" t="s">
        <v>21</v>
      </c>
      <c r="F71" s="118" t="s">
        <v>22</v>
      </c>
      <c r="G71" s="118">
        <v>92</v>
      </c>
      <c r="H71" s="118" t="s">
        <v>18</v>
      </c>
      <c r="I71" s="128" t="s">
        <v>23</v>
      </c>
      <c r="J71" s="131">
        <f>N23</f>
        <v>6.1</v>
      </c>
      <c r="K71" s="131"/>
      <c r="L71" s="118" t="s">
        <v>6</v>
      </c>
      <c r="M71" s="118" t="s">
        <v>21</v>
      </c>
      <c r="N71" s="162" t="s">
        <v>24</v>
      </c>
      <c r="O71" s="149"/>
      <c r="P71" s="149" t="s">
        <v>25</v>
      </c>
      <c r="Q71" s="142">
        <f>C71*J71/G71</f>
        <v>2.1084782608695649</v>
      </c>
      <c r="R71" s="136" t="s">
        <v>6</v>
      </c>
      <c r="S71" s="139" t="s">
        <v>26</v>
      </c>
      <c r="T71" s="142">
        <f>Q71*3.28</f>
        <v>6.9158086956521725</v>
      </c>
      <c r="U71" s="165" t="s">
        <v>7</v>
      </c>
      <c r="V71" s="152"/>
      <c r="W71" s="149" t="s">
        <v>51</v>
      </c>
      <c r="X71" s="149" t="s">
        <v>25</v>
      </c>
      <c r="Y71" s="43" t="s">
        <v>27</v>
      </c>
      <c r="Z71" s="126">
        <f>-0.2584*J71^3+2.6199*J71^2-9.4968*J71+24.123</f>
        <v>5.0271085999999947</v>
      </c>
      <c r="AA71" s="126"/>
      <c r="AB71" s="43" t="s">
        <v>18</v>
      </c>
      <c r="AC71" s="155" t="s">
        <v>21</v>
      </c>
      <c r="AD71" s="158" t="s">
        <v>28</v>
      </c>
      <c r="AE71" s="159"/>
      <c r="AF71" s="159"/>
      <c r="AG71" s="159"/>
      <c r="AH71" s="159"/>
      <c r="AI71" s="44" t="s">
        <v>29</v>
      </c>
      <c r="AJ71" s="160">
        <f>(-0.00148144910414179*Z72^3+1.44160828355672*Z72^2+6.97750591966137*Z72+1153.41884198647)*3*3/J71/J71</f>
        <v>337.41819722346821</v>
      </c>
      <c r="AK71" s="160"/>
      <c r="AL71" s="47" t="s">
        <v>30</v>
      </c>
      <c r="AM71" s="47" t="s">
        <v>26</v>
      </c>
      <c r="AN71" s="45">
        <f>AJ71/10.76391</f>
        <v>31.347177486941849</v>
      </c>
      <c r="AO71" s="56" t="s">
        <v>31</v>
      </c>
    </row>
    <row r="72" spans="2:41" ht="19.25" customHeight="1" thickBot="1" x14ac:dyDescent="0.25">
      <c r="B72" s="129"/>
      <c r="C72" s="116"/>
      <c r="D72" s="119"/>
      <c r="E72" s="119"/>
      <c r="F72" s="119"/>
      <c r="G72" s="119"/>
      <c r="H72" s="119"/>
      <c r="I72" s="129"/>
      <c r="J72" s="132"/>
      <c r="K72" s="132"/>
      <c r="L72" s="119"/>
      <c r="M72" s="119"/>
      <c r="N72" s="163"/>
      <c r="O72" s="150"/>
      <c r="P72" s="150"/>
      <c r="Q72" s="143"/>
      <c r="R72" s="137"/>
      <c r="S72" s="140"/>
      <c r="T72" s="143"/>
      <c r="U72" s="166"/>
      <c r="V72" s="153"/>
      <c r="W72" s="150"/>
      <c r="X72" s="150"/>
      <c r="Y72" s="156" t="s">
        <v>32</v>
      </c>
      <c r="Z72" s="161">
        <f>IF(J71&gt;3,Z74,Z71)</f>
        <v>10.799412029886895</v>
      </c>
      <c r="AA72" s="161"/>
      <c r="AB72" s="156" t="s">
        <v>18</v>
      </c>
      <c r="AC72" s="156"/>
      <c r="AD72" s="64" t="s">
        <v>33</v>
      </c>
      <c r="AE72" s="65"/>
      <c r="AF72" s="65"/>
      <c r="AG72" s="65"/>
      <c r="AH72" s="65"/>
      <c r="AI72" s="49" t="s">
        <v>29</v>
      </c>
      <c r="AJ72" s="66">
        <f>298/512*AJ71</f>
        <v>196.38793510272174</v>
      </c>
      <c r="AK72" s="66"/>
      <c r="AL72" s="47" t="s">
        <v>30</v>
      </c>
      <c r="AM72" s="47" t="s">
        <v>26</v>
      </c>
      <c r="AN72" s="45">
        <f>AJ72/10.76391</f>
        <v>18.245036896696625</v>
      </c>
      <c r="AO72" s="56" t="s">
        <v>31</v>
      </c>
    </row>
    <row r="73" spans="2:41" ht="19.25" customHeight="1" thickBot="1" x14ac:dyDescent="0.25">
      <c r="B73" s="129"/>
      <c r="C73" s="116"/>
      <c r="D73" s="119"/>
      <c r="E73" s="119"/>
      <c r="F73" s="119"/>
      <c r="G73" s="119"/>
      <c r="H73" s="119"/>
      <c r="I73" s="129"/>
      <c r="J73" s="132"/>
      <c r="K73" s="132"/>
      <c r="L73" s="119"/>
      <c r="M73" s="119"/>
      <c r="N73" s="163"/>
      <c r="O73" s="150"/>
      <c r="P73" s="150"/>
      <c r="Q73" s="143"/>
      <c r="R73" s="137"/>
      <c r="S73" s="140"/>
      <c r="T73" s="143"/>
      <c r="U73" s="166"/>
      <c r="V73" s="153"/>
      <c r="W73" s="150"/>
      <c r="X73" s="150"/>
      <c r="Y73" s="156"/>
      <c r="Z73" s="161"/>
      <c r="AA73" s="161"/>
      <c r="AB73" s="156"/>
      <c r="AC73" s="156"/>
      <c r="AD73" s="64" t="s">
        <v>34</v>
      </c>
      <c r="AE73" s="65"/>
      <c r="AF73" s="65"/>
      <c r="AG73" s="65"/>
      <c r="AH73" s="65"/>
      <c r="AI73" s="49" t="s">
        <v>29</v>
      </c>
      <c r="AJ73" s="66">
        <f>AJ71/AJ72*AJ74</f>
        <v>925.68060081807425</v>
      </c>
      <c r="AK73" s="66"/>
      <c r="AL73" s="47" t="s">
        <v>30</v>
      </c>
      <c r="AM73" s="47" t="s">
        <v>26</v>
      </c>
      <c r="AN73" s="45">
        <f>AJ73/10.76391</f>
        <v>85.998545214338876</v>
      </c>
      <c r="AO73" s="56" t="s">
        <v>31</v>
      </c>
    </row>
    <row r="74" spans="2:41" ht="19.25" customHeight="1" thickBot="1" x14ac:dyDescent="0.25">
      <c r="B74" s="174"/>
      <c r="C74" s="176"/>
      <c r="D74" s="173"/>
      <c r="E74" s="173"/>
      <c r="F74" s="173"/>
      <c r="G74" s="173"/>
      <c r="H74" s="173"/>
      <c r="I74" s="174"/>
      <c r="J74" s="175"/>
      <c r="K74" s="175"/>
      <c r="L74" s="173"/>
      <c r="M74" s="173"/>
      <c r="N74" s="164"/>
      <c r="O74" s="151"/>
      <c r="P74" s="151"/>
      <c r="Q74" s="144"/>
      <c r="R74" s="138"/>
      <c r="S74" s="141"/>
      <c r="T74" s="144"/>
      <c r="U74" s="167"/>
      <c r="V74" s="154"/>
      <c r="W74" s="151"/>
      <c r="X74" s="151"/>
      <c r="Y74" s="49" t="s">
        <v>35</v>
      </c>
      <c r="Z74" s="127">
        <f>-1.953*LN(J71)+14.331</f>
        <v>10.799412029886895</v>
      </c>
      <c r="AA74" s="127"/>
      <c r="AB74" s="49" t="s">
        <v>18</v>
      </c>
      <c r="AC74" s="157"/>
      <c r="AD74" s="64" t="s">
        <v>36</v>
      </c>
      <c r="AE74" s="65"/>
      <c r="AF74" s="65"/>
      <c r="AG74" s="65"/>
      <c r="AH74" s="65"/>
      <c r="AI74" s="49" t="s">
        <v>29</v>
      </c>
      <c r="AJ74" s="66">
        <f>(0.0320278999264734*Z72^3-1.49663339817339*Z72^2+56.7602658236036*Z72+1748.76693365517)*3*3/J71/J71</f>
        <v>538.77503719489482</v>
      </c>
      <c r="AK74" s="66"/>
      <c r="AL74" s="47" t="s">
        <v>30</v>
      </c>
      <c r="AM74" s="47" t="s">
        <v>26</v>
      </c>
      <c r="AN74" s="45">
        <f>AJ74/10.76391</f>
        <v>50.053840769283177</v>
      </c>
      <c r="AO74" s="56" t="s">
        <v>31</v>
      </c>
    </row>
    <row r="75" spans="2:41" x14ac:dyDescent="0.2"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</row>
    <row r="76" spans="2:41" ht="16" thickBot="1" x14ac:dyDescent="0.25"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</row>
    <row r="77" spans="2:41" ht="19.25" customHeight="1" x14ac:dyDescent="0.2">
      <c r="B77" s="1" t="s">
        <v>39</v>
      </c>
      <c r="C77" s="2"/>
      <c r="D77" s="2"/>
      <c r="E77" s="2"/>
      <c r="F77" s="2"/>
      <c r="G77" s="2"/>
      <c r="H77" s="2"/>
      <c r="I77" s="11" t="s">
        <v>39</v>
      </c>
      <c r="J77" s="12"/>
      <c r="K77" s="12"/>
      <c r="L77" s="12"/>
      <c r="M77" s="12"/>
      <c r="N77" s="68" t="s">
        <v>40</v>
      </c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70"/>
    </row>
    <row r="78" spans="2:41" ht="19.25" customHeight="1" thickBot="1" x14ac:dyDescent="0.25">
      <c r="B78" s="3"/>
      <c r="C78" s="4"/>
      <c r="D78" s="4"/>
      <c r="E78" s="4"/>
      <c r="F78" s="4"/>
      <c r="G78" s="4"/>
      <c r="H78" s="4"/>
      <c r="I78" s="22"/>
      <c r="J78" s="23"/>
      <c r="K78" s="23"/>
      <c r="L78" s="23"/>
      <c r="M78" s="23"/>
      <c r="N78" s="71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3"/>
    </row>
    <row r="79" spans="2:41" ht="19.25" hidden="1" customHeight="1" thickBot="1" x14ac:dyDescent="0.25">
      <c r="B79" s="105" t="s">
        <v>11</v>
      </c>
      <c r="C79" s="106"/>
      <c r="D79" s="106"/>
      <c r="E79" s="106"/>
      <c r="F79" s="106"/>
      <c r="G79" s="106"/>
      <c r="H79" s="106"/>
      <c r="I79" s="123"/>
      <c r="J79" s="123"/>
      <c r="K79" s="123"/>
      <c r="L79" s="123"/>
      <c r="M79" s="123"/>
      <c r="N79" s="97" t="s">
        <v>12</v>
      </c>
      <c r="O79" s="98"/>
      <c r="P79" s="98"/>
      <c r="Q79" s="98"/>
      <c r="R79" s="98"/>
      <c r="S79" s="98"/>
      <c r="T79" s="98"/>
      <c r="U79" s="98"/>
      <c r="V79" s="33"/>
      <c r="W79" s="33"/>
      <c r="X79" s="97" t="s">
        <v>13</v>
      </c>
      <c r="Y79" s="98"/>
      <c r="Z79" s="98"/>
      <c r="AA79" s="98"/>
      <c r="AB79" s="99"/>
      <c r="AC79" s="98" t="s">
        <v>14</v>
      </c>
      <c r="AD79" s="98"/>
      <c r="AE79" s="98"/>
      <c r="AF79" s="98"/>
      <c r="AG79" s="98"/>
      <c r="AH79" s="101" t="s">
        <v>15</v>
      </c>
      <c r="AI79" s="98"/>
      <c r="AJ79" s="98"/>
      <c r="AK79" s="98"/>
      <c r="AL79" s="98"/>
      <c r="AM79" s="98"/>
      <c r="AN79" s="98"/>
      <c r="AO79" s="99"/>
    </row>
    <row r="80" spans="2:41" ht="19.25" hidden="1" customHeight="1" thickBot="1" x14ac:dyDescent="0.25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97"/>
      <c r="O80" s="98"/>
      <c r="P80" s="98"/>
      <c r="Q80" s="98"/>
      <c r="R80" s="98"/>
      <c r="S80" s="98"/>
      <c r="T80" s="98"/>
      <c r="U80" s="98"/>
      <c r="V80" s="33"/>
      <c r="W80" s="33"/>
      <c r="X80" s="97"/>
      <c r="Y80" s="98"/>
      <c r="Z80" s="98"/>
      <c r="AA80" s="98"/>
      <c r="AB80" s="99"/>
      <c r="AC80" s="98"/>
      <c r="AD80" s="98"/>
      <c r="AE80" s="98"/>
      <c r="AF80" s="98"/>
      <c r="AG80" s="98"/>
      <c r="AH80" s="97"/>
      <c r="AI80" s="98"/>
      <c r="AJ80" s="98"/>
      <c r="AK80" s="98"/>
      <c r="AL80" s="98"/>
      <c r="AM80" s="98"/>
      <c r="AN80" s="98"/>
      <c r="AO80" s="99"/>
    </row>
    <row r="81" spans="2:41" ht="19.25" hidden="1" customHeight="1" thickBot="1" x14ac:dyDescent="0.25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38"/>
      <c r="O81" s="33"/>
      <c r="P81" s="33"/>
      <c r="Q81" s="33"/>
      <c r="R81" s="33"/>
      <c r="S81" s="33"/>
      <c r="T81" s="33"/>
      <c r="U81" s="33"/>
      <c r="V81" s="33"/>
      <c r="W81" s="33"/>
      <c r="X81" s="39"/>
      <c r="Y81" s="34"/>
      <c r="Z81" s="34"/>
      <c r="AA81" s="34"/>
      <c r="AB81" s="40"/>
      <c r="AC81" s="34"/>
      <c r="AD81" s="34"/>
      <c r="AE81" s="34"/>
      <c r="AF81" s="34"/>
      <c r="AG81" s="34"/>
      <c r="AH81" s="39"/>
      <c r="AI81" s="34"/>
      <c r="AJ81" s="34"/>
      <c r="AK81" s="34"/>
      <c r="AL81" s="34"/>
      <c r="AM81" s="34"/>
      <c r="AN81" s="34"/>
      <c r="AO81" s="40"/>
    </row>
    <row r="82" spans="2:41" ht="19.25" hidden="1" customHeight="1" thickBot="1" x14ac:dyDescent="0.25">
      <c r="B82" s="121" t="s">
        <v>16</v>
      </c>
      <c r="C82" s="106"/>
      <c r="D82" s="106"/>
      <c r="E82" s="124" t="s">
        <v>17</v>
      </c>
      <c r="F82" s="124"/>
      <c r="G82" s="124"/>
      <c r="H82" s="8">
        <v>14.5</v>
      </c>
      <c r="I82" s="85" t="s">
        <v>18</v>
      </c>
      <c r="J82" s="85"/>
      <c r="K82" s="85" t="s">
        <v>19</v>
      </c>
      <c r="L82" s="9">
        <v>1.08</v>
      </c>
      <c r="M82" s="9" t="s">
        <v>6</v>
      </c>
      <c r="N82" s="74">
        <v>802.1</v>
      </c>
      <c r="O82" s="75"/>
      <c r="P82" s="36"/>
      <c r="Q82" s="75">
        <f t="shared" ref="Q82:Q96" si="6">0.1249*H82^3-2.9002*H82^2+36.564*H82+502.58</f>
        <v>803.76421249999999</v>
      </c>
      <c r="R82" s="75"/>
      <c r="S82" s="75"/>
      <c r="T82" s="75"/>
      <c r="U82" s="75"/>
      <c r="V82" s="57"/>
      <c r="W82" s="57"/>
      <c r="X82" s="180">
        <f t="shared" ref="X82:X86" si="7">X83/N83*N82</f>
        <v>467.33880677966101</v>
      </c>
      <c r="Y82" s="181"/>
      <c r="Z82" s="181"/>
      <c r="AA82" s="181"/>
      <c r="AB82" s="182"/>
      <c r="AC82" s="183"/>
      <c r="AD82" s="183"/>
      <c r="AE82" s="183"/>
      <c r="AF82" s="183"/>
      <c r="AG82" s="183"/>
      <c r="AH82" s="184">
        <v>1250</v>
      </c>
      <c r="AI82" s="185"/>
      <c r="AJ82" s="58"/>
      <c r="AK82" s="185">
        <f t="shared" ref="AK82:AK96" si="8">-0.015*H82^3+0.2845*H82^2+21.08*H82+926.77</f>
        <v>1246.51675</v>
      </c>
      <c r="AL82" s="185"/>
      <c r="AM82" s="185"/>
      <c r="AN82" s="185"/>
      <c r="AO82" s="186"/>
    </row>
    <row r="83" spans="2:41" ht="19.25" hidden="1" customHeight="1" thickBot="1" x14ac:dyDescent="0.25">
      <c r="B83" s="122"/>
      <c r="C83" s="123"/>
      <c r="D83" s="123"/>
      <c r="E83" s="125"/>
      <c r="F83" s="125"/>
      <c r="G83" s="125"/>
      <c r="H83" s="8">
        <v>14</v>
      </c>
      <c r="I83" s="85" t="s">
        <v>18</v>
      </c>
      <c r="J83" s="85"/>
      <c r="K83" s="86"/>
      <c r="L83" s="9">
        <v>1.27</v>
      </c>
      <c r="M83" s="9" t="s">
        <v>6</v>
      </c>
      <c r="N83" s="74">
        <v>790.5</v>
      </c>
      <c r="O83" s="75"/>
      <c r="P83" s="36"/>
      <c r="Q83" s="75">
        <f t="shared" si="6"/>
        <v>788.76239999999996</v>
      </c>
      <c r="R83" s="75"/>
      <c r="S83" s="75"/>
      <c r="T83" s="75"/>
      <c r="U83" s="75"/>
      <c r="V83" s="37"/>
      <c r="W83" s="37"/>
      <c r="X83" s="80">
        <f t="shared" si="7"/>
        <v>460.58013559322035</v>
      </c>
      <c r="Y83" s="81"/>
      <c r="Z83" s="81"/>
      <c r="AA83" s="81"/>
      <c r="AB83" s="82"/>
      <c r="AC83" s="169"/>
      <c r="AD83" s="169"/>
      <c r="AE83" s="169"/>
      <c r="AF83" s="169"/>
      <c r="AG83" s="169"/>
      <c r="AH83" s="74">
        <v>1235</v>
      </c>
      <c r="AI83" s="75"/>
      <c r="AJ83" s="36"/>
      <c r="AK83" s="75">
        <f t="shared" si="8"/>
        <v>1236.492</v>
      </c>
      <c r="AL83" s="75"/>
      <c r="AM83" s="75"/>
      <c r="AN83" s="75"/>
      <c r="AO83" s="76"/>
    </row>
    <row r="84" spans="2:41" ht="19.25" hidden="1" customHeight="1" thickBot="1" x14ac:dyDescent="0.25">
      <c r="B84" s="122"/>
      <c r="C84" s="123"/>
      <c r="D84" s="123"/>
      <c r="E84" s="125"/>
      <c r="F84" s="125"/>
      <c r="G84" s="125"/>
      <c r="H84" s="8">
        <v>13.5</v>
      </c>
      <c r="I84" s="85" t="s">
        <v>18</v>
      </c>
      <c r="J84" s="85"/>
      <c r="K84" s="86"/>
      <c r="L84" s="9">
        <v>1.42</v>
      </c>
      <c r="M84" s="9" t="s">
        <v>6</v>
      </c>
      <c r="N84" s="74">
        <v>778.1</v>
      </c>
      <c r="O84" s="75"/>
      <c r="P84" s="36"/>
      <c r="Q84" s="75">
        <f t="shared" si="6"/>
        <v>774.93338749999998</v>
      </c>
      <c r="R84" s="75"/>
      <c r="S84" s="75"/>
      <c r="T84" s="75"/>
      <c r="U84" s="75"/>
      <c r="V84" s="37"/>
      <c r="W84" s="37"/>
      <c r="X84" s="80">
        <f t="shared" si="7"/>
        <v>453.35534915254237</v>
      </c>
      <c r="Y84" s="81"/>
      <c r="Z84" s="81"/>
      <c r="AA84" s="81"/>
      <c r="AB84" s="82"/>
      <c r="AC84" s="169"/>
      <c r="AD84" s="169"/>
      <c r="AE84" s="169"/>
      <c r="AF84" s="169"/>
      <c r="AG84" s="169"/>
      <c r="AH84" s="74">
        <v>1223</v>
      </c>
      <c r="AI84" s="75"/>
      <c r="AJ84" s="36"/>
      <c r="AK84" s="75">
        <f t="shared" si="8"/>
        <v>1226.2945</v>
      </c>
      <c r="AL84" s="75"/>
      <c r="AM84" s="75"/>
      <c r="AN84" s="75"/>
      <c r="AO84" s="76"/>
    </row>
    <row r="85" spans="2:41" ht="19.25" hidden="1" customHeight="1" thickBot="1" x14ac:dyDescent="0.25">
      <c r="B85" s="122"/>
      <c r="C85" s="123"/>
      <c r="D85" s="123"/>
      <c r="E85" s="125"/>
      <c r="F85" s="125"/>
      <c r="G85" s="125"/>
      <c r="H85" s="8">
        <v>13</v>
      </c>
      <c r="I85" s="85" t="s">
        <v>18</v>
      </c>
      <c r="J85" s="85"/>
      <c r="K85" s="86"/>
      <c r="L85" s="9">
        <v>1.7649999999999999</v>
      </c>
      <c r="M85" s="9" t="s">
        <v>6</v>
      </c>
      <c r="N85" s="74">
        <v>759.4</v>
      </c>
      <c r="O85" s="75"/>
      <c r="P85" s="36"/>
      <c r="Q85" s="75">
        <f t="shared" si="6"/>
        <v>762.18349999999998</v>
      </c>
      <c r="R85" s="75"/>
      <c r="S85" s="75"/>
      <c r="T85" s="75"/>
      <c r="U85" s="75"/>
      <c r="V85" s="37"/>
      <c r="W85" s="37"/>
      <c r="X85" s="80">
        <f t="shared" si="7"/>
        <v>442.45990508474574</v>
      </c>
      <c r="Y85" s="81"/>
      <c r="Z85" s="81"/>
      <c r="AA85" s="81"/>
      <c r="AB85" s="82"/>
      <c r="AC85" s="169"/>
      <c r="AD85" s="169"/>
      <c r="AE85" s="169"/>
      <c r="AF85" s="169"/>
      <c r="AG85" s="169"/>
      <c r="AH85" s="74">
        <v>1213</v>
      </c>
      <c r="AI85" s="75"/>
      <c r="AJ85" s="36"/>
      <c r="AK85" s="75">
        <f t="shared" si="8"/>
        <v>1215.9355</v>
      </c>
      <c r="AL85" s="75"/>
      <c r="AM85" s="75"/>
      <c r="AN85" s="75"/>
      <c r="AO85" s="76"/>
    </row>
    <row r="86" spans="2:41" ht="19.25" hidden="1" customHeight="1" thickBot="1" x14ac:dyDescent="0.25">
      <c r="B86" s="122"/>
      <c r="C86" s="123"/>
      <c r="D86" s="123"/>
      <c r="E86" s="125"/>
      <c r="F86" s="125"/>
      <c r="G86" s="125"/>
      <c r="H86" s="8">
        <v>12.5</v>
      </c>
      <c r="I86" s="85" t="s">
        <v>18</v>
      </c>
      <c r="J86" s="85"/>
      <c r="K86" s="86"/>
      <c r="L86" s="9">
        <v>2.15</v>
      </c>
      <c r="M86" s="9" t="s">
        <v>6</v>
      </c>
      <c r="N86" s="74">
        <v>752.3</v>
      </c>
      <c r="O86" s="75"/>
      <c r="P86" s="36"/>
      <c r="Q86" s="75">
        <f t="shared" si="6"/>
        <v>750.4190625</v>
      </c>
      <c r="R86" s="75"/>
      <c r="S86" s="75"/>
      <c r="T86" s="75"/>
      <c r="U86" s="75"/>
      <c r="V86" s="37"/>
      <c r="W86" s="37"/>
      <c r="X86" s="80">
        <f t="shared" si="7"/>
        <v>438.32313220338978</v>
      </c>
      <c r="Y86" s="81"/>
      <c r="Z86" s="81"/>
      <c r="AA86" s="81"/>
      <c r="AB86" s="82"/>
      <c r="AC86" s="169"/>
      <c r="AD86" s="169"/>
      <c r="AE86" s="169"/>
      <c r="AF86" s="169"/>
      <c r="AG86" s="169"/>
      <c r="AH86" s="74">
        <v>1204</v>
      </c>
      <c r="AI86" s="75"/>
      <c r="AJ86" s="36"/>
      <c r="AK86" s="75">
        <f t="shared" si="8"/>
        <v>1205.42625</v>
      </c>
      <c r="AL86" s="75"/>
      <c r="AM86" s="75"/>
      <c r="AN86" s="75"/>
      <c r="AO86" s="76"/>
    </row>
    <row r="87" spans="2:41" ht="19.25" hidden="1" customHeight="1" thickBot="1" x14ac:dyDescent="0.25">
      <c r="B87" s="122"/>
      <c r="C87" s="123"/>
      <c r="D87" s="123"/>
      <c r="E87" s="125"/>
      <c r="F87" s="125"/>
      <c r="G87" s="125"/>
      <c r="H87" s="8">
        <v>12</v>
      </c>
      <c r="I87" s="85" t="s">
        <v>18</v>
      </c>
      <c r="J87" s="85"/>
      <c r="K87" s="86"/>
      <c r="L87" s="9">
        <v>2.81</v>
      </c>
      <c r="M87" s="9" t="s">
        <v>6</v>
      </c>
      <c r="N87" s="74">
        <v>737.5</v>
      </c>
      <c r="O87" s="75"/>
      <c r="P87" s="36"/>
      <c r="Q87" s="75">
        <f t="shared" si="6"/>
        <v>739.54640000000006</v>
      </c>
      <c r="R87" s="75"/>
      <c r="S87" s="75"/>
      <c r="T87" s="75"/>
      <c r="U87" s="75"/>
      <c r="V87" s="37"/>
      <c r="W87" s="37"/>
      <c r="X87" s="80">
        <v>429.7</v>
      </c>
      <c r="Y87" s="81"/>
      <c r="Z87" s="81"/>
      <c r="AA87" s="81"/>
      <c r="AB87" s="82"/>
      <c r="AC87" s="169"/>
      <c r="AD87" s="169"/>
      <c r="AE87" s="169"/>
      <c r="AF87" s="169"/>
      <c r="AG87" s="169"/>
      <c r="AH87" s="74">
        <v>1196</v>
      </c>
      <c r="AI87" s="75"/>
      <c r="AJ87" s="36"/>
      <c r="AK87" s="75">
        <f t="shared" si="8"/>
        <v>1194.778</v>
      </c>
      <c r="AL87" s="75"/>
      <c r="AM87" s="75"/>
      <c r="AN87" s="75"/>
      <c r="AO87" s="76"/>
    </row>
    <row r="88" spans="2:41" ht="19.25" hidden="1" customHeight="1" thickBot="1" x14ac:dyDescent="0.25">
      <c r="B88" s="122"/>
      <c r="C88" s="123"/>
      <c r="D88" s="123"/>
      <c r="E88" s="125"/>
      <c r="F88" s="125"/>
      <c r="G88" s="125"/>
      <c r="H88" s="8">
        <v>11.5</v>
      </c>
      <c r="I88" s="85" t="s">
        <v>18</v>
      </c>
      <c r="J88" s="85"/>
      <c r="K88" s="86"/>
      <c r="L88" s="9">
        <v>5.83</v>
      </c>
      <c r="M88" s="9" t="s">
        <v>6</v>
      </c>
      <c r="N88" s="74">
        <v>726.9</v>
      </c>
      <c r="O88" s="75"/>
      <c r="P88" s="36"/>
      <c r="Q88" s="75">
        <f t="shared" si="6"/>
        <v>729.47183749999999</v>
      </c>
      <c r="R88" s="75"/>
      <c r="S88" s="75"/>
      <c r="T88" s="75"/>
      <c r="U88" s="75"/>
      <c r="V88" s="37"/>
      <c r="W88" s="37"/>
      <c r="X88" s="80">
        <f t="shared" ref="X88:X92" si="9">X87/N87*N88</f>
        <v>423.52397288135592</v>
      </c>
      <c r="Y88" s="81"/>
      <c r="Z88" s="81"/>
      <c r="AA88" s="81"/>
      <c r="AB88" s="82"/>
      <c r="AC88" s="169"/>
      <c r="AD88" s="169"/>
      <c r="AE88" s="169"/>
      <c r="AF88" s="169"/>
      <c r="AG88" s="169"/>
      <c r="AH88" s="74">
        <v>1186</v>
      </c>
      <c r="AI88" s="75"/>
      <c r="AJ88" s="36"/>
      <c r="AK88" s="75">
        <f t="shared" si="8"/>
        <v>1184.002</v>
      </c>
      <c r="AL88" s="75"/>
      <c r="AM88" s="75"/>
      <c r="AN88" s="75"/>
      <c r="AO88" s="76"/>
    </row>
    <row r="89" spans="2:41" ht="19.25" hidden="1" customHeight="1" thickBot="1" x14ac:dyDescent="0.25">
      <c r="B89" s="122"/>
      <c r="C89" s="123"/>
      <c r="D89" s="123"/>
      <c r="E89" s="125"/>
      <c r="F89" s="125"/>
      <c r="G89" s="125"/>
      <c r="H89" s="8">
        <v>11</v>
      </c>
      <c r="I89" s="85" t="s">
        <v>18</v>
      </c>
      <c r="J89" s="85"/>
      <c r="K89" s="86"/>
      <c r="L89" s="9">
        <v>15.86</v>
      </c>
      <c r="M89" s="9" t="s">
        <v>6</v>
      </c>
      <c r="N89" s="74">
        <v>721.8</v>
      </c>
      <c r="O89" s="75"/>
      <c r="P89" s="36"/>
      <c r="Q89" s="75">
        <f t="shared" si="6"/>
        <v>720.10169999999994</v>
      </c>
      <c r="R89" s="75"/>
      <c r="S89" s="75"/>
      <c r="T89" s="75"/>
      <c r="U89" s="75"/>
      <c r="V89" s="37"/>
      <c r="W89" s="37"/>
      <c r="X89" s="80">
        <f t="shared" si="9"/>
        <v>420.55248813559319</v>
      </c>
      <c r="Y89" s="81"/>
      <c r="Z89" s="81"/>
      <c r="AA89" s="81"/>
      <c r="AB89" s="82"/>
      <c r="AC89" s="169"/>
      <c r="AD89" s="169"/>
      <c r="AE89" s="169"/>
      <c r="AF89" s="169"/>
      <c r="AG89" s="169"/>
      <c r="AH89" s="74">
        <v>1177</v>
      </c>
      <c r="AI89" s="75"/>
      <c r="AJ89" s="36"/>
      <c r="AK89" s="75">
        <f t="shared" si="8"/>
        <v>1173.1095</v>
      </c>
      <c r="AL89" s="75"/>
      <c r="AM89" s="75"/>
      <c r="AN89" s="75"/>
      <c r="AO89" s="76"/>
    </row>
    <row r="90" spans="2:41" ht="19.25" hidden="1" customHeight="1" thickBot="1" x14ac:dyDescent="0.25">
      <c r="B90" s="122"/>
      <c r="C90" s="123"/>
      <c r="D90" s="123"/>
      <c r="E90" s="125"/>
      <c r="F90" s="125"/>
      <c r="G90" s="125"/>
      <c r="H90" s="8">
        <v>10.5</v>
      </c>
      <c r="I90" s="85" t="s">
        <v>18</v>
      </c>
      <c r="J90" s="85"/>
      <c r="K90" s="86"/>
      <c r="L90" s="9"/>
      <c r="M90" s="9" t="s">
        <v>6</v>
      </c>
      <c r="N90" s="74">
        <v>712.4</v>
      </c>
      <c r="O90" s="75"/>
      <c r="P90" s="36"/>
      <c r="Q90" s="75">
        <f t="shared" si="6"/>
        <v>711.34231249999993</v>
      </c>
      <c r="R90" s="75"/>
      <c r="S90" s="75"/>
      <c r="T90" s="75"/>
      <c r="U90" s="75"/>
      <c r="V90" s="37"/>
      <c r="W90" s="37"/>
      <c r="X90" s="80">
        <f t="shared" si="9"/>
        <v>415.07563389830506</v>
      </c>
      <c r="Y90" s="81"/>
      <c r="Z90" s="81"/>
      <c r="AA90" s="81"/>
      <c r="AB90" s="82"/>
      <c r="AC90" s="169"/>
      <c r="AD90" s="169"/>
      <c r="AE90" s="169"/>
      <c r="AF90" s="169"/>
      <c r="AG90" s="169"/>
      <c r="AH90" s="74">
        <v>1164</v>
      </c>
      <c r="AI90" s="75"/>
      <c r="AJ90" s="36"/>
      <c r="AK90" s="75">
        <f t="shared" si="8"/>
        <v>1162.11175</v>
      </c>
      <c r="AL90" s="75"/>
      <c r="AM90" s="75"/>
      <c r="AN90" s="75"/>
      <c r="AO90" s="76"/>
    </row>
    <row r="91" spans="2:41" ht="19.25" hidden="1" customHeight="1" thickBot="1" x14ac:dyDescent="0.25">
      <c r="B91" s="122"/>
      <c r="C91" s="123"/>
      <c r="D91" s="123"/>
      <c r="E91" s="125"/>
      <c r="F91" s="125"/>
      <c r="G91" s="125"/>
      <c r="H91" s="8">
        <v>10</v>
      </c>
      <c r="I91" s="85" t="s">
        <v>18</v>
      </c>
      <c r="J91" s="85"/>
      <c r="K91" s="86"/>
      <c r="L91" s="9"/>
      <c r="M91" s="9" t="s">
        <v>6</v>
      </c>
      <c r="N91" s="74">
        <v>705.2</v>
      </c>
      <c r="O91" s="75"/>
      <c r="P91" s="36"/>
      <c r="Q91" s="75">
        <f t="shared" si="6"/>
        <v>703.09999999999991</v>
      </c>
      <c r="R91" s="75"/>
      <c r="S91" s="75"/>
      <c r="T91" s="75"/>
      <c r="U91" s="75"/>
      <c r="V91" s="37"/>
      <c r="W91" s="37"/>
      <c r="X91" s="80">
        <f t="shared" si="9"/>
        <v>410.8805966101695</v>
      </c>
      <c r="Y91" s="81"/>
      <c r="Z91" s="81"/>
      <c r="AA91" s="81"/>
      <c r="AB91" s="82"/>
      <c r="AC91" s="169"/>
      <c r="AD91" s="169"/>
      <c r="AE91" s="169"/>
      <c r="AF91" s="169"/>
      <c r="AG91" s="169"/>
      <c r="AH91" s="74">
        <v>1150</v>
      </c>
      <c r="AI91" s="75"/>
      <c r="AJ91" s="36"/>
      <c r="AK91" s="75">
        <f t="shared" si="8"/>
        <v>1151.02</v>
      </c>
      <c r="AL91" s="75"/>
      <c r="AM91" s="75"/>
      <c r="AN91" s="75"/>
      <c r="AO91" s="76"/>
    </row>
    <row r="92" spans="2:41" ht="19.25" hidden="1" customHeight="1" thickBot="1" x14ac:dyDescent="0.25">
      <c r="B92" s="122"/>
      <c r="C92" s="123"/>
      <c r="D92" s="123"/>
      <c r="E92" s="125"/>
      <c r="F92" s="125"/>
      <c r="G92" s="125"/>
      <c r="H92" s="8">
        <v>9.5</v>
      </c>
      <c r="I92" s="85" t="s">
        <v>18</v>
      </c>
      <c r="J92" s="85"/>
      <c r="K92" s="86"/>
      <c r="L92" s="9"/>
      <c r="M92" s="9" t="s">
        <v>6</v>
      </c>
      <c r="N92" s="74">
        <v>693.5</v>
      </c>
      <c r="O92" s="75"/>
      <c r="P92" s="36"/>
      <c r="Q92" s="75">
        <f t="shared" si="6"/>
        <v>695.28108750000001</v>
      </c>
      <c r="R92" s="75"/>
      <c r="S92" s="75"/>
      <c r="T92" s="75"/>
      <c r="U92" s="75"/>
      <c r="V92" s="37"/>
      <c r="W92" s="37"/>
      <c r="X92" s="80">
        <f t="shared" si="9"/>
        <v>404.06366101694914</v>
      </c>
      <c r="Y92" s="81"/>
      <c r="Z92" s="81"/>
      <c r="AA92" s="81"/>
      <c r="AB92" s="82"/>
      <c r="AC92" s="169"/>
      <c r="AD92" s="169"/>
      <c r="AE92" s="169"/>
      <c r="AF92" s="169"/>
      <c r="AG92" s="169"/>
      <c r="AH92" s="74">
        <v>1139</v>
      </c>
      <c r="AI92" s="75"/>
      <c r="AJ92" s="36"/>
      <c r="AK92" s="75">
        <f t="shared" si="8"/>
        <v>1139.8454999999999</v>
      </c>
      <c r="AL92" s="75"/>
      <c r="AM92" s="75"/>
      <c r="AN92" s="75"/>
      <c r="AO92" s="76"/>
    </row>
    <row r="93" spans="2:41" ht="19.25" hidden="1" customHeight="1" thickBot="1" x14ac:dyDescent="0.25">
      <c r="B93" s="122"/>
      <c r="C93" s="123"/>
      <c r="D93" s="123"/>
      <c r="E93" s="125"/>
      <c r="F93" s="125"/>
      <c r="G93" s="125"/>
      <c r="H93" s="8">
        <f>H92-1.5</f>
        <v>8</v>
      </c>
      <c r="I93" s="85" t="s">
        <v>18</v>
      </c>
      <c r="J93" s="85"/>
      <c r="K93" s="86"/>
      <c r="L93" s="9"/>
      <c r="M93" s="9" t="s">
        <v>6</v>
      </c>
      <c r="N93" s="74"/>
      <c r="O93" s="75"/>
      <c r="P93" s="36"/>
      <c r="Q93" s="75">
        <f t="shared" si="6"/>
        <v>673.428</v>
      </c>
      <c r="R93" s="75"/>
      <c r="S93" s="75"/>
      <c r="T93" s="75"/>
      <c r="U93" s="75"/>
      <c r="V93" s="37"/>
      <c r="W93" s="37"/>
      <c r="X93" s="80">
        <f>X92/N92*Q93</f>
        <v>392.3688292881356</v>
      </c>
      <c r="Y93" s="81"/>
      <c r="Z93" s="81"/>
      <c r="AA93" s="81"/>
      <c r="AB93" s="82"/>
      <c r="AC93" s="169"/>
      <c r="AD93" s="169"/>
      <c r="AE93" s="169"/>
      <c r="AF93" s="169"/>
      <c r="AG93" s="169"/>
      <c r="AH93" s="74">
        <v>1101</v>
      </c>
      <c r="AI93" s="75"/>
      <c r="AJ93" s="36"/>
      <c r="AK93" s="75">
        <f t="shared" si="8"/>
        <v>1105.9379999999999</v>
      </c>
      <c r="AL93" s="75"/>
      <c r="AM93" s="75"/>
      <c r="AN93" s="75"/>
      <c r="AO93" s="76"/>
    </row>
    <row r="94" spans="2:41" ht="19.25" hidden="1" customHeight="1" thickBot="1" x14ac:dyDescent="0.25">
      <c r="B94" s="122"/>
      <c r="C94" s="123"/>
      <c r="D94" s="123"/>
      <c r="E94" s="125"/>
      <c r="F94" s="125"/>
      <c r="G94" s="125"/>
      <c r="H94" s="8">
        <f>H93-1.5</f>
        <v>6.5</v>
      </c>
      <c r="I94" s="85" t="s">
        <v>18</v>
      </c>
      <c r="J94" s="85"/>
      <c r="K94" s="86"/>
      <c r="L94" s="9"/>
      <c r="M94" s="9" t="s">
        <v>6</v>
      </c>
      <c r="N94" s="74"/>
      <c r="O94" s="75"/>
      <c r="P94" s="36"/>
      <c r="Q94" s="75">
        <f t="shared" si="6"/>
        <v>652.01321250000001</v>
      </c>
      <c r="R94" s="75"/>
      <c r="S94" s="75"/>
      <c r="T94" s="75"/>
      <c r="U94" s="75"/>
      <c r="V94" s="37"/>
      <c r="W94" s="37"/>
      <c r="X94" s="80">
        <f>X93/Q93*Q94</f>
        <v>379.89163038813558</v>
      </c>
      <c r="Y94" s="81"/>
      <c r="Z94" s="81"/>
      <c r="AA94" s="81"/>
      <c r="AB94" s="82"/>
      <c r="AC94" s="169"/>
      <c r="AD94" s="169"/>
      <c r="AE94" s="169"/>
      <c r="AF94" s="169"/>
      <c r="AG94" s="169"/>
      <c r="AH94" s="74">
        <v>1074</v>
      </c>
      <c r="AI94" s="75"/>
      <c r="AJ94" s="36"/>
      <c r="AK94" s="75">
        <f t="shared" si="8"/>
        <v>1071.69075</v>
      </c>
      <c r="AL94" s="75"/>
      <c r="AM94" s="75"/>
      <c r="AN94" s="75"/>
      <c r="AO94" s="76"/>
    </row>
    <row r="95" spans="2:41" ht="19.25" hidden="1" customHeight="1" thickBot="1" x14ac:dyDescent="0.25">
      <c r="B95" s="122"/>
      <c r="C95" s="123"/>
      <c r="D95" s="123"/>
      <c r="E95" s="125"/>
      <c r="F95" s="125"/>
      <c r="G95" s="125"/>
      <c r="H95" s="8">
        <f>H94-1.5</f>
        <v>5</v>
      </c>
      <c r="I95" s="85" t="s">
        <v>18</v>
      </c>
      <c r="J95" s="85"/>
      <c r="K95" s="86"/>
      <c r="L95" s="9"/>
      <c r="M95" s="9" t="s">
        <v>6</v>
      </c>
      <c r="N95" s="74"/>
      <c r="O95" s="75"/>
      <c r="P95" s="36"/>
      <c r="Q95" s="75">
        <f t="shared" si="6"/>
        <v>628.50749999999994</v>
      </c>
      <c r="R95" s="75"/>
      <c r="S95" s="75"/>
      <c r="T95" s="75"/>
      <c r="U95" s="75"/>
      <c r="V95" s="37"/>
      <c r="W95" s="37"/>
      <c r="X95" s="80">
        <f>X94/Q94*Q95</f>
        <v>366.19616644067793</v>
      </c>
      <c r="Y95" s="81"/>
      <c r="Z95" s="81"/>
      <c r="AA95" s="81"/>
      <c r="AB95" s="82"/>
      <c r="AC95" s="169"/>
      <c r="AD95" s="169"/>
      <c r="AE95" s="169"/>
      <c r="AF95" s="169"/>
      <c r="AG95" s="169"/>
      <c r="AH95" s="74">
        <v>1038</v>
      </c>
      <c r="AI95" s="75"/>
      <c r="AJ95" s="36"/>
      <c r="AK95" s="75">
        <f t="shared" si="8"/>
        <v>1037.4075</v>
      </c>
      <c r="AL95" s="75"/>
      <c r="AM95" s="75"/>
      <c r="AN95" s="75"/>
      <c r="AO95" s="76"/>
    </row>
    <row r="96" spans="2:41" ht="19.25" hidden="1" customHeight="1" thickBot="1" x14ac:dyDescent="0.25">
      <c r="B96" s="122"/>
      <c r="C96" s="123"/>
      <c r="D96" s="123"/>
      <c r="E96" s="125"/>
      <c r="F96" s="125"/>
      <c r="G96" s="125"/>
      <c r="H96" s="8">
        <f>H95-1.5</f>
        <v>3.5</v>
      </c>
      <c r="I96" s="85" t="s">
        <v>18</v>
      </c>
      <c r="J96" s="85"/>
      <c r="K96" s="86"/>
      <c r="L96" s="9"/>
      <c r="M96" s="9" t="s">
        <v>6</v>
      </c>
      <c r="N96" s="80"/>
      <c r="O96" s="81"/>
      <c r="P96" s="36"/>
      <c r="Q96" s="81">
        <f t="shared" si="6"/>
        <v>600.38163750000001</v>
      </c>
      <c r="R96" s="81"/>
      <c r="S96" s="81"/>
      <c r="T96" s="81"/>
      <c r="U96" s="81"/>
      <c r="V96" s="37"/>
      <c r="W96" s="37"/>
      <c r="X96" s="80">
        <f>X95/Q95*Q96</f>
        <v>349.80879950338982</v>
      </c>
      <c r="Y96" s="81"/>
      <c r="Z96" s="81"/>
      <c r="AA96" s="81"/>
      <c r="AB96" s="82"/>
      <c r="AC96" s="169"/>
      <c r="AD96" s="169"/>
      <c r="AE96" s="169"/>
      <c r="AF96" s="169"/>
      <c r="AG96" s="169"/>
      <c r="AH96" s="80">
        <v>1003</v>
      </c>
      <c r="AI96" s="81"/>
      <c r="AJ96" s="36"/>
      <c r="AK96" s="81">
        <f t="shared" si="8"/>
        <v>1003.3919999999999</v>
      </c>
      <c r="AL96" s="81"/>
      <c r="AM96" s="81"/>
      <c r="AN96" s="81"/>
      <c r="AO96" s="82"/>
    </row>
    <row r="97" spans="2:41" ht="19.25" customHeight="1" thickBot="1" x14ac:dyDescent="0.25">
      <c r="B97" s="128" t="s">
        <v>20</v>
      </c>
      <c r="C97" s="115">
        <v>31.8</v>
      </c>
      <c r="D97" s="118" t="s">
        <v>18</v>
      </c>
      <c r="E97" s="118" t="s">
        <v>21</v>
      </c>
      <c r="F97" s="118" t="s">
        <v>22</v>
      </c>
      <c r="G97" s="118">
        <v>66</v>
      </c>
      <c r="H97" s="118" t="s">
        <v>18</v>
      </c>
      <c r="I97" s="128" t="s">
        <v>23</v>
      </c>
      <c r="J97" s="131">
        <f>N23</f>
        <v>6.1</v>
      </c>
      <c r="K97" s="131"/>
      <c r="L97" s="118" t="s">
        <v>6</v>
      </c>
      <c r="M97" s="118" t="s">
        <v>21</v>
      </c>
      <c r="N97" s="162" t="s">
        <v>24</v>
      </c>
      <c r="O97" s="149"/>
      <c r="P97" s="149" t="s">
        <v>25</v>
      </c>
      <c r="Q97" s="142">
        <f>C97*J97/G97</f>
        <v>2.939090909090909</v>
      </c>
      <c r="R97" s="136" t="s">
        <v>6</v>
      </c>
      <c r="S97" s="139" t="s">
        <v>26</v>
      </c>
      <c r="T97" s="142">
        <f>Q97*3.28</f>
        <v>9.6402181818181809</v>
      </c>
      <c r="U97" s="165" t="s">
        <v>7</v>
      </c>
      <c r="V97" s="152"/>
      <c r="W97" s="149" t="s">
        <v>51</v>
      </c>
      <c r="X97" s="149" t="s">
        <v>25</v>
      </c>
      <c r="Y97" s="43" t="s">
        <v>27</v>
      </c>
      <c r="Z97" s="126">
        <f>-0.1188*J97^3+1.4166*J97^2-5.4904*J97+18.897</f>
        <v>11.1519032</v>
      </c>
      <c r="AA97" s="126"/>
      <c r="AB97" s="43" t="s">
        <v>18</v>
      </c>
      <c r="AC97" s="155" t="s">
        <v>21</v>
      </c>
      <c r="AD97" s="158" t="s">
        <v>28</v>
      </c>
      <c r="AE97" s="159"/>
      <c r="AF97" s="159"/>
      <c r="AG97" s="159"/>
      <c r="AH97" s="159"/>
      <c r="AI97" s="44" t="s">
        <v>29</v>
      </c>
      <c r="AJ97" s="160">
        <f>(0.1249*Z98^3-2.9002*Z98^2+36.564*Z98+502.58)*3*3/J97/J97</f>
        <v>176.52452206579312</v>
      </c>
      <c r="AK97" s="160"/>
      <c r="AL97" s="47" t="s">
        <v>30</v>
      </c>
      <c r="AM97" s="47" t="s">
        <v>26</v>
      </c>
      <c r="AN97" s="45">
        <f>AJ97/10.76391</f>
        <v>16.399665369349346</v>
      </c>
      <c r="AO97" s="56" t="s">
        <v>31</v>
      </c>
    </row>
    <row r="98" spans="2:41" ht="19.25" customHeight="1" thickBot="1" x14ac:dyDescent="0.25">
      <c r="B98" s="129"/>
      <c r="C98" s="116"/>
      <c r="D98" s="119"/>
      <c r="E98" s="119"/>
      <c r="F98" s="119"/>
      <c r="G98" s="119"/>
      <c r="H98" s="119"/>
      <c r="I98" s="129"/>
      <c r="J98" s="132"/>
      <c r="K98" s="132"/>
      <c r="L98" s="119"/>
      <c r="M98" s="119"/>
      <c r="N98" s="163"/>
      <c r="O98" s="150"/>
      <c r="P98" s="150"/>
      <c r="Q98" s="143"/>
      <c r="R98" s="137"/>
      <c r="S98" s="140"/>
      <c r="T98" s="143"/>
      <c r="U98" s="166"/>
      <c r="V98" s="153"/>
      <c r="W98" s="150"/>
      <c r="X98" s="150"/>
      <c r="Y98" s="156" t="s">
        <v>32</v>
      </c>
      <c r="Z98" s="161">
        <f>IF(J97&gt;2.9,Z100,Z97)</f>
        <v>11.518467111656641</v>
      </c>
      <c r="AA98" s="161"/>
      <c r="AB98" s="156" t="s">
        <v>18</v>
      </c>
      <c r="AC98" s="156"/>
      <c r="AD98" s="64" t="s">
        <v>33</v>
      </c>
      <c r="AE98" s="65"/>
      <c r="AF98" s="65"/>
      <c r="AG98" s="65"/>
      <c r="AH98" s="65"/>
      <c r="AI98" s="49" t="s">
        <v>29</v>
      </c>
      <c r="AJ98" s="66">
        <f>298/512*AJ97</f>
        <v>102.74278823360615</v>
      </c>
      <c r="AK98" s="66"/>
      <c r="AL98" s="47" t="s">
        <v>30</v>
      </c>
      <c r="AM98" s="47" t="s">
        <v>26</v>
      </c>
      <c r="AN98" s="45">
        <f>AJ98/10.76391</f>
        <v>9.5451177345041121</v>
      </c>
      <c r="AO98" s="56" t="s">
        <v>31</v>
      </c>
    </row>
    <row r="99" spans="2:41" ht="19.25" customHeight="1" thickBot="1" x14ac:dyDescent="0.25">
      <c r="B99" s="129"/>
      <c r="C99" s="116"/>
      <c r="D99" s="119"/>
      <c r="E99" s="119"/>
      <c r="F99" s="119"/>
      <c r="G99" s="119"/>
      <c r="H99" s="119"/>
      <c r="I99" s="129"/>
      <c r="J99" s="132"/>
      <c r="K99" s="132"/>
      <c r="L99" s="119"/>
      <c r="M99" s="119"/>
      <c r="N99" s="163"/>
      <c r="O99" s="150"/>
      <c r="P99" s="150"/>
      <c r="Q99" s="143"/>
      <c r="R99" s="137"/>
      <c r="S99" s="140"/>
      <c r="T99" s="143"/>
      <c r="U99" s="166"/>
      <c r="V99" s="153"/>
      <c r="W99" s="150"/>
      <c r="X99" s="150"/>
      <c r="Y99" s="156"/>
      <c r="Z99" s="161"/>
      <c r="AA99" s="161"/>
      <c r="AB99" s="156"/>
      <c r="AC99" s="156"/>
      <c r="AD99" s="64" t="s">
        <v>34</v>
      </c>
      <c r="AE99" s="65"/>
      <c r="AF99" s="65"/>
      <c r="AG99" s="65"/>
      <c r="AH99" s="65"/>
      <c r="AI99" s="49" t="s">
        <v>29</v>
      </c>
      <c r="AJ99" s="66">
        <f>AJ97/AJ98*AJ100</f>
        <v>492.19332691455338</v>
      </c>
      <c r="AK99" s="66"/>
      <c r="AL99" s="47" t="s">
        <v>30</v>
      </c>
      <c r="AM99" s="47" t="s">
        <v>26</v>
      </c>
      <c r="AN99" s="45">
        <f>AJ99/10.76391</f>
        <v>45.726258108303895</v>
      </c>
      <c r="AO99" s="56" t="s">
        <v>31</v>
      </c>
    </row>
    <row r="100" spans="2:41" ht="19.25" customHeight="1" thickBot="1" x14ac:dyDescent="0.25">
      <c r="B100" s="174"/>
      <c r="C100" s="176"/>
      <c r="D100" s="173"/>
      <c r="E100" s="173"/>
      <c r="F100" s="173"/>
      <c r="G100" s="173"/>
      <c r="H100" s="173"/>
      <c r="I100" s="174"/>
      <c r="J100" s="175"/>
      <c r="K100" s="175"/>
      <c r="L100" s="173"/>
      <c r="M100" s="173"/>
      <c r="N100" s="164"/>
      <c r="O100" s="151"/>
      <c r="P100" s="151"/>
      <c r="Q100" s="144"/>
      <c r="R100" s="138"/>
      <c r="S100" s="141"/>
      <c r="T100" s="144"/>
      <c r="U100" s="167"/>
      <c r="V100" s="154"/>
      <c r="W100" s="151"/>
      <c r="X100" s="151"/>
      <c r="Y100" s="49" t="s">
        <v>35</v>
      </c>
      <c r="Z100" s="127">
        <f>-0.571*LN(J97)+12.551</f>
        <v>11.518467111656641</v>
      </c>
      <c r="AA100" s="127"/>
      <c r="AB100" s="49" t="s">
        <v>18</v>
      </c>
      <c r="AC100" s="157"/>
      <c r="AD100" s="64" t="s">
        <v>36</v>
      </c>
      <c r="AE100" s="65"/>
      <c r="AF100" s="65"/>
      <c r="AG100" s="65"/>
      <c r="AH100" s="65"/>
      <c r="AI100" s="49" t="s">
        <v>29</v>
      </c>
      <c r="AJ100" s="66">
        <f>(-0.015*Z98^3+0.2845*Z98^2+21.08*Z98+926.77)*3*3/J97/J97</f>
        <v>286.47189730573615</v>
      </c>
      <c r="AK100" s="66"/>
      <c r="AL100" s="47" t="s">
        <v>30</v>
      </c>
      <c r="AM100" s="47" t="s">
        <v>26</v>
      </c>
      <c r="AN100" s="45">
        <f>AJ100/10.76391</f>
        <v>26.614111164598754</v>
      </c>
      <c r="AO100" s="56" t="s">
        <v>31</v>
      </c>
    </row>
    <row r="101" spans="2:41" x14ac:dyDescent="0.2"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spans="2:41" ht="16" thickBot="1" x14ac:dyDescent="0.25"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</row>
    <row r="103" spans="2:41" ht="19.25" customHeight="1" x14ac:dyDescent="0.2">
      <c r="B103" s="14" t="s">
        <v>41</v>
      </c>
      <c r="C103" s="15"/>
      <c r="D103" s="15"/>
      <c r="E103" s="15"/>
      <c r="F103" s="15"/>
      <c r="G103" s="15"/>
      <c r="H103" s="15"/>
      <c r="I103" s="24" t="s">
        <v>42</v>
      </c>
      <c r="J103" s="25"/>
      <c r="K103" s="25"/>
      <c r="L103" s="25"/>
      <c r="M103" s="25"/>
      <c r="N103" s="68" t="s">
        <v>43</v>
      </c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70"/>
    </row>
    <row r="104" spans="2:41" ht="19.25" customHeight="1" thickBot="1" x14ac:dyDescent="0.25">
      <c r="B104" s="16"/>
      <c r="C104" s="17"/>
      <c r="D104" s="17"/>
      <c r="E104" s="17"/>
      <c r="F104" s="17"/>
      <c r="G104" s="17"/>
      <c r="H104" s="17"/>
      <c r="I104" s="26"/>
      <c r="J104" s="27"/>
      <c r="K104" s="27"/>
      <c r="L104" s="27"/>
      <c r="M104" s="27"/>
      <c r="N104" s="71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3"/>
    </row>
    <row r="105" spans="2:41" ht="19.25" hidden="1" customHeight="1" thickBot="1" x14ac:dyDescent="0.25">
      <c r="B105" s="187" t="s">
        <v>11</v>
      </c>
      <c r="C105" s="188"/>
      <c r="D105" s="188"/>
      <c r="E105" s="188"/>
      <c r="F105" s="188"/>
      <c r="G105" s="188"/>
      <c r="H105" s="188"/>
      <c r="I105" s="189"/>
      <c r="J105" s="189"/>
      <c r="K105" s="189"/>
      <c r="L105" s="189"/>
      <c r="M105" s="189"/>
      <c r="N105" s="97" t="s">
        <v>12</v>
      </c>
      <c r="O105" s="98"/>
      <c r="P105" s="98"/>
      <c r="Q105" s="98"/>
      <c r="R105" s="98"/>
      <c r="S105" s="98"/>
      <c r="T105" s="98"/>
      <c r="U105" s="99"/>
      <c r="V105" s="33"/>
      <c r="W105" s="33"/>
      <c r="X105" s="97" t="s">
        <v>13</v>
      </c>
      <c r="Y105" s="98"/>
      <c r="Z105" s="98"/>
      <c r="AA105" s="98"/>
      <c r="AB105" s="99"/>
      <c r="AC105" s="97" t="s">
        <v>14</v>
      </c>
      <c r="AD105" s="98"/>
      <c r="AE105" s="98"/>
      <c r="AF105" s="98"/>
      <c r="AG105" s="99"/>
      <c r="AH105" s="101" t="s">
        <v>15</v>
      </c>
      <c r="AI105" s="98"/>
      <c r="AJ105" s="98"/>
      <c r="AK105" s="98"/>
      <c r="AL105" s="98"/>
      <c r="AM105" s="98"/>
      <c r="AN105" s="98"/>
      <c r="AO105" s="99"/>
    </row>
    <row r="106" spans="2:41" ht="19.25" hidden="1" customHeight="1" thickBot="1" x14ac:dyDescent="0.25">
      <c r="B106" s="190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91"/>
      <c r="O106" s="192"/>
      <c r="P106" s="192"/>
      <c r="Q106" s="192"/>
      <c r="R106" s="192"/>
      <c r="S106" s="192"/>
      <c r="T106" s="192"/>
      <c r="U106" s="193"/>
      <c r="V106" s="34"/>
      <c r="W106" s="34"/>
      <c r="X106" s="191"/>
      <c r="Y106" s="192"/>
      <c r="Z106" s="192"/>
      <c r="AA106" s="192"/>
      <c r="AB106" s="193"/>
      <c r="AC106" s="191"/>
      <c r="AD106" s="192"/>
      <c r="AE106" s="192"/>
      <c r="AF106" s="192"/>
      <c r="AG106" s="193"/>
      <c r="AH106" s="191"/>
      <c r="AI106" s="192"/>
      <c r="AJ106" s="192"/>
      <c r="AK106" s="192"/>
      <c r="AL106" s="192"/>
      <c r="AM106" s="192"/>
      <c r="AN106" s="192"/>
      <c r="AO106" s="193"/>
    </row>
    <row r="107" spans="2:41" ht="19.25" hidden="1" customHeight="1" thickBot="1" x14ac:dyDescent="0.25">
      <c r="B107" s="200" t="s">
        <v>16</v>
      </c>
      <c r="C107" s="188"/>
      <c r="D107" s="188"/>
      <c r="E107" s="18">
        <v>16</v>
      </c>
      <c r="F107" s="196" t="s">
        <v>18</v>
      </c>
      <c r="G107" s="196"/>
      <c r="H107" s="196" t="s">
        <v>44</v>
      </c>
      <c r="I107" s="19"/>
      <c r="J107" s="19" t="s">
        <v>6</v>
      </c>
      <c r="K107" s="196" t="s">
        <v>45</v>
      </c>
      <c r="L107" s="19">
        <v>0.79</v>
      </c>
      <c r="M107" s="20" t="s">
        <v>6</v>
      </c>
      <c r="N107" s="74"/>
      <c r="O107" s="75"/>
      <c r="P107" s="36"/>
      <c r="Q107" s="75">
        <f t="shared" ref="Q107:Q125" si="10">0.0713*E107^3-2.293*E107^2+38.911*E107+251.04</f>
        <v>578.65279999999996</v>
      </c>
      <c r="R107" s="75"/>
      <c r="S107" s="75"/>
      <c r="T107" s="75"/>
      <c r="U107" s="76"/>
      <c r="V107" s="35"/>
      <c r="W107" s="35"/>
      <c r="X107" s="74"/>
      <c r="Y107" s="75"/>
      <c r="Z107" s="36"/>
      <c r="AA107" s="75" t="e">
        <f t="shared" ref="AA107:AA125" si="11">X$29/N$29*Q107</f>
        <v>#DIV/0!</v>
      </c>
      <c r="AB107" s="76"/>
      <c r="AC107" s="74"/>
      <c r="AD107" s="75"/>
      <c r="AE107" s="36"/>
      <c r="AF107" s="194"/>
      <c r="AG107" s="195"/>
      <c r="AH107" s="74">
        <f>0.0279*E107^3-0.6654*E107^2+21.401*E107+619.92</f>
        <v>906.27199999999993</v>
      </c>
      <c r="AI107" s="75"/>
      <c r="AJ107" s="36"/>
      <c r="AK107" s="75">
        <v>906.39879999999994</v>
      </c>
      <c r="AL107" s="75"/>
      <c r="AM107" s="75"/>
      <c r="AN107" s="75"/>
      <c r="AO107" s="76"/>
    </row>
    <row r="108" spans="2:41" ht="19.25" hidden="1" customHeight="1" thickBot="1" x14ac:dyDescent="0.25">
      <c r="B108" s="190"/>
      <c r="C108" s="189"/>
      <c r="D108" s="189"/>
      <c r="E108" s="18">
        <v>15.5</v>
      </c>
      <c r="F108" s="196" t="s">
        <v>18</v>
      </c>
      <c r="G108" s="196"/>
      <c r="H108" s="199"/>
      <c r="I108" s="19"/>
      <c r="J108" s="19" t="s">
        <v>6</v>
      </c>
      <c r="K108" s="199"/>
      <c r="L108" s="19">
        <v>0.87</v>
      </c>
      <c r="M108" s="20" t="s">
        <v>6</v>
      </c>
      <c r="N108" s="74"/>
      <c r="O108" s="75"/>
      <c r="P108" s="36"/>
      <c r="Q108" s="75">
        <f t="shared" si="10"/>
        <v>568.77953749999995</v>
      </c>
      <c r="R108" s="75"/>
      <c r="S108" s="75"/>
      <c r="T108" s="75"/>
      <c r="U108" s="76"/>
      <c r="V108" s="35"/>
      <c r="W108" s="35"/>
      <c r="X108" s="74"/>
      <c r="Y108" s="75"/>
      <c r="Z108" s="36"/>
      <c r="AA108" s="75" t="e">
        <f t="shared" si="11"/>
        <v>#DIV/0!</v>
      </c>
      <c r="AB108" s="76"/>
      <c r="AC108" s="74"/>
      <c r="AD108" s="75"/>
      <c r="AE108" s="36"/>
      <c r="AF108" s="194"/>
      <c r="AG108" s="195"/>
      <c r="AH108" s="74">
        <f>0.0279*E108^3-0.6654*E108^2+21.401*E108+619.92</f>
        <v>895.66926250000006</v>
      </c>
      <c r="AI108" s="75"/>
      <c r="AJ108" s="36"/>
      <c r="AK108" s="75">
        <v>895.7974999999999</v>
      </c>
      <c r="AL108" s="75"/>
      <c r="AM108" s="75"/>
      <c r="AN108" s="75"/>
      <c r="AO108" s="76"/>
    </row>
    <row r="109" spans="2:41" ht="19.25" hidden="1" customHeight="1" thickBot="1" x14ac:dyDescent="0.25">
      <c r="B109" s="190"/>
      <c r="C109" s="189"/>
      <c r="D109" s="189"/>
      <c r="E109" s="18">
        <v>15</v>
      </c>
      <c r="F109" s="196" t="s">
        <v>18</v>
      </c>
      <c r="G109" s="196"/>
      <c r="H109" s="199"/>
      <c r="I109" s="19"/>
      <c r="J109" s="19" t="s">
        <v>6</v>
      </c>
      <c r="K109" s="199"/>
      <c r="L109" s="19">
        <v>0.97799999999999998</v>
      </c>
      <c r="M109" s="20" t="s">
        <v>6</v>
      </c>
      <c r="N109" s="74"/>
      <c r="O109" s="75"/>
      <c r="P109" s="36"/>
      <c r="Q109" s="75">
        <f t="shared" si="10"/>
        <v>559.4174999999999</v>
      </c>
      <c r="R109" s="75"/>
      <c r="S109" s="75"/>
      <c r="T109" s="75"/>
      <c r="U109" s="76"/>
      <c r="V109" s="35"/>
      <c r="W109" s="35"/>
      <c r="X109" s="74"/>
      <c r="Y109" s="75"/>
      <c r="Z109" s="36"/>
      <c r="AA109" s="75" t="e">
        <f t="shared" si="11"/>
        <v>#DIV/0!</v>
      </c>
      <c r="AB109" s="76"/>
      <c r="AC109" s="197"/>
      <c r="AD109" s="198"/>
      <c r="AE109" s="36"/>
      <c r="AF109" s="194"/>
      <c r="AG109" s="195"/>
      <c r="AH109" s="74">
        <f>0.0279*E109^3-0.6654*E109^2+21.401*E109+619.92</f>
        <v>885.38249999999994</v>
      </c>
      <c r="AI109" s="75"/>
      <c r="AJ109" s="36"/>
      <c r="AK109" s="75">
        <v>885.51</v>
      </c>
      <c r="AL109" s="75"/>
      <c r="AM109" s="75"/>
      <c r="AN109" s="75"/>
      <c r="AO109" s="76"/>
    </row>
    <row r="110" spans="2:41" ht="19.25" hidden="1" customHeight="1" thickBot="1" x14ac:dyDescent="0.25">
      <c r="B110" s="190"/>
      <c r="C110" s="189"/>
      <c r="D110" s="189"/>
      <c r="E110" s="18">
        <v>14.5</v>
      </c>
      <c r="F110" s="196" t="s">
        <v>18</v>
      </c>
      <c r="G110" s="196"/>
      <c r="H110" s="199"/>
      <c r="I110" s="19"/>
      <c r="J110" s="19" t="s">
        <v>6</v>
      </c>
      <c r="K110" s="199"/>
      <c r="L110" s="19">
        <v>1.115</v>
      </c>
      <c r="M110" s="20" t="s">
        <v>6</v>
      </c>
      <c r="N110" s="74"/>
      <c r="O110" s="75"/>
      <c r="P110" s="36"/>
      <c r="Q110" s="75">
        <f t="shared" si="10"/>
        <v>550.51321250000001</v>
      </c>
      <c r="R110" s="75"/>
      <c r="S110" s="75"/>
      <c r="T110" s="75"/>
      <c r="U110" s="76"/>
      <c r="V110" s="35"/>
      <c r="W110" s="35"/>
      <c r="X110" s="74"/>
      <c r="Y110" s="75"/>
      <c r="Z110" s="36"/>
      <c r="AA110" s="75" t="e">
        <f t="shared" si="11"/>
        <v>#DIV/0!</v>
      </c>
      <c r="AB110" s="76"/>
      <c r="AC110" s="74"/>
      <c r="AD110" s="75"/>
      <c r="AE110" s="36"/>
      <c r="AF110" s="194"/>
      <c r="AG110" s="195"/>
      <c r="AH110" s="74">
        <f>0.0279*E110^3-0.6654*E110^2+21.401*E110+619.92</f>
        <v>875.39078749999999</v>
      </c>
      <c r="AI110" s="75"/>
      <c r="AJ110" s="36"/>
      <c r="AK110" s="75">
        <v>875.51559999999995</v>
      </c>
      <c r="AL110" s="75"/>
      <c r="AM110" s="75"/>
      <c r="AN110" s="75"/>
      <c r="AO110" s="76"/>
    </row>
    <row r="111" spans="2:41" ht="19.25" hidden="1" customHeight="1" thickBot="1" x14ac:dyDescent="0.25">
      <c r="B111" s="190"/>
      <c r="C111" s="189"/>
      <c r="D111" s="189"/>
      <c r="E111" s="18">
        <v>14</v>
      </c>
      <c r="F111" s="196" t="s">
        <v>18</v>
      </c>
      <c r="G111" s="196"/>
      <c r="H111" s="199"/>
      <c r="I111" s="19"/>
      <c r="J111" s="19" t="s">
        <v>6</v>
      </c>
      <c r="K111" s="199"/>
      <c r="L111" s="19">
        <v>1.4</v>
      </c>
      <c r="M111" s="20" t="s">
        <v>6</v>
      </c>
      <c r="N111" s="74">
        <v>542.6</v>
      </c>
      <c r="O111" s="75"/>
      <c r="P111" s="36"/>
      <c r="Q111" s="75">
        <f t="shared" si="10"/>
        <v>542.01319999999998</v>
      </c>
      <c r="R111" s="75"/>
      <c r="S111" s="75"/>
      <c r="T111" s="75"/>
      <c r="U111" s="76"/>
      <c r="V111" s="35"/>
      <c r="W111" s="35"/>
      <c r="X111" s="74">
        <f t="shared" ref="X111:X112" si="12">X112/N112*N111</f>
        <v>316.31342583545046</v>
      </c>
      <c r="Y111" s="75"/>
      <c r="Z111" s="36"/>
      <c r="AA111" s="75" t="e">
        <f t="shared" si="11"/>
        <v>#DIV/0!</v>
      </c>
      <c r="AB111" s="76"/>
      <c r="AC111" s="74"/>
      <c r="AD111" s="75"/>
      <c r="AE111" s="36"/>
      <c r="AF111" s="194"/>
      <c r="AG111" s="195"/>
      <c r="AH111" s="74">
        <v>865</v>
      </c>
      <c r="AI111" s="75"/>
      <c r="AJ111" s="36"/>
      <c r="AK111" s="75">
        <v>865.79359999999997</v>
      </c>
      <c r="AL111" s="75"/>
      <c r="AM111" s="75"/>
      <c r="AN111" s="75"/>
      <c r="AO111" s="76"/>
    </row>
    <row r="112" spans="2:41" ht="19.25" hidden="1" customHeight="1" thickBot="1" x14ac:dyDescent="0.25">
      <c r="B112" s="190"/>
      <c r="C112" s="189"/>
      <c r="D112" s="189"/>
      <c r="E112" s="18">
        <v>13.5</v>
      </c>
      <c r="F112" s="196" t="s">
        <v>18</v>
      </c>
      <c r="G112" s="196"/>
      <c r="H112" s="199"/>
      <c r="I112" s="19"/>
      <c r="J112" s="19" t="s">
        <v>6</v>
      </c>
      <c r="K112" s="199"/>
      <c r="L112" s="19">
        <v>1.75</v>
      </c>
      <c r="M112" s="20" t="s">
        <v>6</v>
      </c>
      <c r="N112" s="74">
        <v>533</v>
      </c>
      <c r="O112" s="75"/>
      <c r="P112" s="36"/>
      <c r="Q112" s="75">
        <f t="shared" si="10"/>
        <v>533.86398749999989</v>
      </c>
      <c r="R112" s="75"/>
      <c r="S112" s="75"/>
      <c r="T112" s="75"/>
      <c r="U112" s="76"/>
      <c r="V112" s="35"/>
      <c r="W112" s="35"/>
      <c r="X112" s="74">
        <f t="shared" si="12"/>
        <v>310.71702169239791</v>
      </c>
      <c r="Y112" s="75"/>
      <c r="Z112" s="36"/>
      <c r="AA112" s="75" t="e">
        <f t="shared" si="11"/>
        <v>#DIV/0!</v>
      </c>
      <c r="AB112" s="76"/>
      <c r="AC112" s="74"/>
      <c r="AD112" s="75"/>
      <c r="AE112" s="36"/>
      <c r="AF112" s="75"/>
      <c r="AG112" s="76"/>
      <c r="AH112" s="74">
        <v>856.5</v>
      </c>
      <c r="AI112" s="75"/>
      <c r="AJ112" s="36"/>
      <c r="AK112" s="75">
        <v>856.32330000000002</v>
      </c>
      <c r="AL112" s="75"/>
      <c r="AM112" s="75"/>
      <c r="AN112" s="75"/>
      <c r="AO112" s="76"/>
    </row>
    <row r="113" spans="2:41" ht="19.25" hidden="1" customHeight="1" thickBot="1" x14ac:dyDescent="0.25">
      <c r="B113" s="190"/>
      <c r="C113" s="189"/>
      <c r="D113" s="189"/>
      <c r="E113" s="18">
        <v>13</v>
      </c>
      <c r="F113" s="196" t="s">
        <v>18</v>
      </c>
      <c r="G113" s="196"/>
      <c r="H113" s="199"/>
      <c r="I113" s="19"/>
      <c r="J113" s="19" t="s">
        <v>6</v>
      </c>
      <c r="K113" s="199"/>
      <c r="L113" s="19">
        <v>2.6</v>
      </c>
      <c r="M113" s="20" t="s">
        <v>6</v>
      </c>
      <c r="N113" s="74">
        <v>525.70000000000005</v>
      </c>
      <c r="O113" s="75"/>
      <c r="P113" s="36"/>
      <c r="Q113" s="75">
        <f t="shared" si="10"/>
        <v>526.01209999999992</v>
      </c>
      <c r="R113" s="75"/>
      <c r="S113" s="75"/>
      <c r="T113" s="75"/>
      <c r="U113" s="76"/>
      <c r="V113" s="35"/>
      <c r="W113" s="35"/>
      <c r="X113" s="74">
        <f>X114/N114*N113</f>
        <v>306.46142270861839</v>
      </c>
      <c r="Y113" s="75"/>
      <c r="Z113" s="36"/>
      <c r="AA113" s="75" t="e">
        <f t="shared" si="11"/>
        <v>#DIV/0!</v>
      </c>
      <c r="AB113" s="76"/>
      <c r="AC113" s="74"/>
      <c r="AD113" s="75"/>
      <c r="AE113" s="36"/>
      <c r="AF113" s="75"/>
      <c r="AG113" s="76"/>
      <c r="AH113" s="74">
        <v>847.2</v>
      </c>
      <c r="AI113" s="75"/>
      <c r="AJ113" s="36"/>
      <c r="AK113" s="75">
        <v>847.08399999999995</v>
      </c>
      <c r="AL113" s="75"/>
      <c r="AM113" s="75"/>
      <c r="AN113" s="75"/>
      <c r="AO113" s="76"/>
    </row>
    <row r="114" spans="2:41" ht="19.25" hidden="1" customHeight="1" thickBot="1" x14ac:dyDescent="0.25">
      <c r="B114" s="190"/>
      <c r="C114" s="189"/>
      <c r="D114" s="189"/>
      <c r="E114" s="18">
        <v>12.5</v>
      </c>
      <c r="F114" s="196" t="s">
        <v>18</v>
      </c>
      <c r="G114" s="196"/>
      <c r="H114" s="199"/>
      <c r="I114" s="19"/>
      <c r="J114" s="19" t="s">
        <v>6</v>
      </c>
      <c r="K114" s="199"/>
      <c r="L114" s="19">
        <v>5.4450000000000003</v>
      </c>
      <c r="M114" s="20" t="s">
        <v>6</v>
      </c>
      <c r="N114" s="74">
        <v>519.5</v>
      </c>
      <c r="O114" s="75"/>
      <c r="P114" s="36"/>
      <c r="Q114" s="75">
        <f t="shared" si="10"/>
        <v>518.40406250000001</v>
      </c>
      <c r="R114" s="75"/>
      <c r="S114" s="75"/>
      <c r="T114" s="75"/>
      <c r="U114" s="76"/>
      <c r="V114" s="35"/>
      <c r="W114" s="35"/>
      <c r="X114" s="74">
        <f>X115/N115*N114</f>
        <v>302.84707836623022</v>
      </c>
      <c r="Y114" s="75"/>
      <c r="Z114" s="36"/>
      <c r="AA114" s="75" t="e">
        <f t="shared" si="11"/>
        <v>#DIV/0!</v>
      </c>
      <c r="AB114" s="76"/>
      <c r="AC114" s="74"/>
      <c r="AD114" s="75"/>
      <c r="AE114" s="36"/>
      <c r="AF114" s="75"/>
      <c r="AG114" s="76"/>
      <c r="AH114" s="74">
        <v>839.4</v>
      </c>
      <c r="AI114" s="75"/>
      <c r="AJ114" s="36"/>
      <c r="AK114" s="75">
        <v>838.05500000000006</v>
      </c>
      <c r="AL114" s="75"/>
      <c r="AM114" s="75"/>
      <c r="AN114" s="75"/>
      <c r="AO114" s="76"/>
    </row>
    <row r="115" spans="2:41" ht="19.25" hidden="1" customHeight="1" thickBot="1" x14ac:dyDescent="0.25">
      <c r="B115" s="190"/>
      <c r="C115" s="189"/>
      <c r="D115" s="189"/>
      <c r="E115" s="18">
        <v>12</v>
      </c>
      <c r="F115" s="196" t="s">
        <v>18</v>
      </c>
      <c r="G115" s="196"/>
      <c r="H115" s="199"/>
      <c r="I115" s="19"/>
      <c r="J115" s="19" t="s">
        <v>6</v>
      </c>
      <c r="K115" s="199"/>
      <c r="L115" s="19">
        <v>8.7200000000000006</v>
      </c>
      <c r="M115" s="20" t="s">
        <v>6</v>
      </c>
      <c r="N115" s="74">
        <v>511.7</v>
      </c>
      <c r="O115" s="75"/>
      <c r="P115" s="36"/>
      <c r="Q115" s="75">
        <f t="shared" si="10"/>
        <v>510.9864</v>
      </c>
      <c r="R115" s="75"/>
      <c r="S115" s="75"/>
      <c r="T115" s="75"/>
      <c r="U115" s="76"/>
      <c r="V115" s="35"/>
      <c r="W115" s="35"/>
      <c r="X115" s="74">
        <v>298.3</v>
      </c>
      <c r="Y115" s="75"/>
      <c r="Z115" s="36"/>
      <c r="AA115" s="75" t="e">
        <f t="shared" si="11"/>
        <v>#DIV/0!</v>
      </c>
      <c r="AB115" s="76"/>
      <c r="AC115" s="74"/>
      <c r="AD115" s="75"/>
      <c r="AE115" s="36"/>
      <c r="AF115" s="75"/>
      <c r="AG115" s="76"/>
      <c r="AH115" s="74">
        <v>829.7</v>
      </c>
      <c r="AI115" s="75"/>
      <c r="AJ115" s="36"/>
      <c r="AK115" s="75">
        <v>829.21559999999999</v>
      </c>
      <c r="AL115" s="75"/>
      <c r="AM115" s="75"/>
      <c r="AN115" s="75"/>
      <c r="AO115" s="76"/>
    </row>
    <row r="116" spans="2:41" ht="19.25" hidden="1" customHeight="1" thickBot="1" x14ac:dyDescent="0.25">
      <c r="B116" s="190"/>
      <c r="C116" s="189"/>
      <c r="D116" s="189"/>
      <c r="E116" s="18">
        <v>11.5</v>
      </c>
      <c r="F116" s="196" t="s">
        <v>18</v>
      </c>
      <c r="G116" s="196"/>
      <c r="H116" s="199"/>
      <c r="I116" s="18"/>
      <c r="J116" s="19" t="s">
        <v>6</v>
      </c>
      <c r="K116" s="199"/>
      <c r="L116" s="19"/>
      <c r="M116" s="20" t="s">
        <v>6</v>
      </c>
      <c r="N116" s="74">
        <v>502.8</v>
      </c>
      <c r="O116" s="75"/>
      <c r="P116" s="36"/>
      <c r="Q116" s="75">
        <f t="shared" si="10"/>
        <v>503.70563749999997</v>
      </c>
      <c r="R116" s="75"/>
      <c r="S116" s="75"/>
      <c r="T116" s="75"/>
      <c r="U116" s="76"/>
      <c r="V116" s="35"/>
      <c r="W116" s="35"/>
      <c r="X116" s="74">
        <f t="shared" ref="X116:X120" si="13">X115/N115*N116</f>
        <v>293.11166699237839</v>
      </c>
      <c r="Y116" s="75"/>
      <c r="Z116" s="36"/>
      <c r="AA116" s="75" t="e">
        <f t="shared" si="11"/>
        <v>#DIV/0!</v>
      </c>
      <c r="AB116" s="76"/>
      <c r="AC116" s="74"/>
      <c r="AD116" s="75"/>
      <c r="AE116" s="36"/>
      <c r="AF116" s="75"/>
      <c r="AG116" s="76"/>
      <c r="AH116" s="74">
        <v>819.8</v>
      </c>
      <c r="AI116" s="75"/>
      <c r="AJ116" s="36"/>
      <c r="AK116" s="75">
        <v>820.54510000000005</v>
      </c>
      <c r="AL116" s="75"/>
      <c r="AM116" s="75"/>
      <c r="AN116" s="75"/>
      <c r="AO116" s="76"/>
    </row>
    <row r="117" spans="2:41" ht="19.25" hidden="1" customHeight="1" thickBot="1" x14ac:dyDescent="0.25">
      <c r="B117" s="190"/>
      <c r="C117" s="189"/>
      <c r="D117" s="189"/>
      <c r="E117" s="18">
        <v>11</v>
      </c>
      <c r="F117" s="196" t="s">
        <v>18</v>
      </c>
      <c r="G117" s="196"/>
      <c r="H117" s="199"/>
      <c r="I117" s="19"/>
      <c r="J117" s="19" t="s">
        <v>6</v>
      </c>
      <c r="K117" s="199"/>
      <c r="L117" s="19"/>
      <c r="M117" s="20" t="s">
        <v>6</v>
      </c>
      <c r="N117" s="74">
        <v>496.3</v>
      </c>
      <c r="O117" s="75"/>
      <c r="P117" s="36"/>
      <c r="Q117" s="75">
        <f t="shared" si="10"/>
        <v>496.50829999999996</v>
      </c>
      <c r="R117" s="75"/>
      <c r="S117" s="75"/>
      <c r="T117" s="75"/>
      <c r="U117" s="76"/>
      <c r="V117" s="35"/>
      <c r="W117" s="35"/>
      <c r="X117" s="74">
        <f t="shared" si="13"/>
        <v>289.32243502051983</v>
      </c>
      <c r="Y117" s="75"/>
      <c r="Z117" s="36"/>
      <c r="AA117" s="75" t="e">
        <f t="shared" si="11"/>
        <v>#DIV/0!</v>
      </c>
      <c r="AB117" s="76"/>
      <c r="AC117" s="74"/>
      <c r="AD117" s="75"/>
      <c r="AE117" s="36"/>
      <c r="AF117" s="75"/>
      <c r="AG117" s="76"/>
      <c r="AH117" s="74">
        <v>811.5</v>
      </c>
      <c r="AI117" s="75"/>
      <c r="AJ117" s="36"/>
      <c r="AK117" s="75">
        <v>812.02279999999996</v>
      </c>
      <c r="AL117" s="75"/>
      <c r="AM117" s="75"/>
      <c r="AN117" s="75"/>
      <c r="AO117" s="76"/>
    </row>
    <row r="118" spans="2:41" ht="19.25" hidden="1" customHeight="1" thickBot="1" x14ac:dyDescent="0.25">
      <c r="B118" s="190"/>
      <c r="C118" s="189"/>
      <c r="D118" s="189"/>
      <c r="E118" s="18">
        <v>10.5</v>
      </c>
      <c r="F118" s="196" t="s">
        <v>18</v>
      </c>
      <c r="G118" s="196"/>
      <c r="H118" s="199"/>
      <c r="I118" s="19"/>
      <c r="J118" s="19" t="s">
        <v>6</v>
      </c>
      <c r="K118" s="199"/>
      <c r="L118" s="19"/>
      <c r="M118" s="20" t="s">
        <v>6</v>
      </c>
      <c r="N118" s="74">
        <v>490</v>
      </c>
      <c r="O118" s="75"/>
      <c r="P118" s="36"/>
      <c r="Q118" s="75">
        <f t="shared" si="10"/>
        <v>489.34091250000006</v>
      </c>
      <c r="R118" s="75"/>
      <c r="S118" s="75"/>
      <c r="T118" s="75"/>
      <c r="U118" s="76"/>
      <c r="V118" s="35"/>
      <c r="W118" s="35"/>
      <c r="X118" s="74">
        <f t="shared" si="13"/>
        <v>285.64979480164158</v>
      </c>
      <c r="Y118" s="75"/>
      <c r="Z118" s="36"/>
      <c r="AA118" s="75" t="e">
        <f t="shared" si="11"/>
        <v>#DIV/0!</v>
      </c>
      <c r="AB118" s="76"/>
      <c r="AC118" s="74"/>
      <c r="AD118" s="75"/>
      <c r="AE118" s="36"/>
      <c r="AF118" s="75"/>
      <c r="AG118" s="76"/>
      <c r="AH118" s="74">
        <v>802.3</v>
      </c>
      <c r="AI118" s="75"/>
      <c r="AJ118" s="36"/>
      <c r="AK118" s="75">
        <v>803.62799999999993</v>
      </c>
      <c r="AL118" s="75"/>
      <c r="AM118" s="75"/>
      <c r="AN118" s="75"/>
      <c r="AO118" s="76"/>
    </row>
    <row r="119" spans="2:41" ht="19.25" hidden="1" customHeight="1" thickBot="1" x14ac:dyDescent="0.25">
      <c r="B119" s="190"/>
      <c r="C119" s="189"/>
      <c r="D119" s="189"/>
      <c r="E119" s="18">
        <v>10</v>
      </c>
      <c r="F119" s="196" t="s">
        <v>18</v>
      </c>
      <c r="G119" s="196"/>
      <c r="H119" s="199"/>
      <c r="I119" s="19"/>
      <c r="J119" s="19" t="s">
        <v>6</v>
      </c>
      <c r="K119" s="199"/>
      <c r="L119" s="19">
        <v>15.86</v>
      </c>
      <c r="M119" s="20" t="s">
        <v>6</v>
      </c>
      <c r="N119" s="74">
        <v>481.4</v>
      </c>
      <c r="O119" s="75"/>
      <c r="P119" s="36"/>
      <c r="Q119" s="75">
        <f t="shared" si="10"/>
        <v>482.15</v>
      </c>
      <c r="R119" s="75"/>
      <c r="S119" s="75"/>
      <c r="T119" s="75"/>
      <c r="U119" s="76"/>
      <c r="V119" s="35"/>
      <c r="W119" s="35"/>
      <c r="X119" s="74">
        <f t="shared" si="13"/>
        <v>280.63634942349034</v>
      </c>
      <c r="Y119" s="75"/>
      <c r="Z119" s="36"/>
      <c r="AA119" s="75" t="e">
        <f t="shared" si="11"/>
        <v>#DIV/0!</v>
      </c>
      <c r="AB119" s="76"/>
      <c r="AC119" s="74"/>
      <c r="AD119" s="75"/>
      <c r="AE119" s="36"/>
      <c r="AF119" s="75"/>
      <c r="AG119" s="76"/>
      <c r="AH119" s="74">
        <v>794.5</v>
      </c>
      <c r="AI119" s="75"/>
      <c r="AJ119" s="36"/>
      <c r="AK119" s="75">
        <v>795.33999999999992</v>
      </c>
      <c r="AL119" s="75"/>
      <c r="AM119" s="75"/>
      <c r="AN119" s="75"/>
      <c r="AO119" s="76"/>
    </row>
    <row r="120" spans="2:41" ht="19.25" hidden="1" customHeight="1" thickBot="1" x14ac:dyDescent="0.25">
      <c r="B120" s="190"/>
      <c r="C120" s="189"/>
      <c r="D120" s="189"/>
      <c r="E120" s="18">
        <v>9.5</v>
      </c>
      <c r="F120" s="196" t="s">
        <v>18</v>
      </c>
      <c r="G120" s="196"/>
      <c r="H120" s="199"/>
      <c r="I120" s="19"/>
      <c r="J120" s="19" t="s">
        <v>6</v>
      </c>
      <c r="K120" s="199"/>
      <c r="L120" s="19"/>
      <c r="M120" s="20" t="s">
        <v>6</v>
      </c>
      <c r="N120" s="74">
        <v>475.6</v>
      </c>
      <c r="O120" s="75"/>
      <c r="P120" s="36"/>
      <c r="Q120" s="75">
        <f t="shared" si="10"/>
        <v>474.88208750000001</v>
      </c>
      <c r="R120" s="75"/>
      <c r="S120" s="75"/>
      <c r="T120" s="75"/>
      <c r="U120" s="76"/>
      <c r="V120" s="35"/>
      <c r="W120" s="35"/>
      <c r="X120" s="74">
        <f t="shared" si="13"/>
        <v>277.25518858706278</v>
      </c>
      <c r="Y120" s="75"/>
      <c r="Z120" s="36"/>
      <c r="AA120" s="75" t="e">
        <f t="shared" si="11"/>
        <v>#DIV/0!</v>
      </c>
      <c r="AB120" s="76"/>
      <c r="AC120" s="74"/>
      <c r="AD120" s="75"/>
      <c r="AE120" s="36"/>
      <c r="AF120" s="75"/>
      <c r="AG120" s="76"/>
      <c r="AH120" s="74">
        <v>787.9</v>
      </c>
      <c r="AI120" s="75"/>
      <c r="AJ120" s="36"/>
      <c r="AK120" s="75">
        <v>787.13810000000001</v>
      </c>
      <c r="AL120" s="75"/>
      <c r="AM120" s="75"/>
      <c r="AN120" s="75"/>
      <c r="AO120" s="76"/>
    </row>
    <row r="121" spans="2:41" ht="19.25" hidden="1" customHeight="1" thickBot="1" x14ac:dyDescent="0.25">
      <c r="B121" s="190"/>
      <c r="C121" s="189"/>
      <c r="D121" s="189"/>
      <c r="E121" s="18">
        <v>9</v>
      </c>
      <c r="F121" s="196" t="s">
        <v>18</v>
      </c>
      <c r="G121" s="196"/>
      <c r="H121" s="199"/>
      <c r="I121" s="19"/>
      <c r="J121" s="19" t="s">
        <v>6</v>
      </c>
      <c r="K121" s="199"/>
      <c r="L121" s="19"/>
      <c r="M121" s="20" t="s">
        <v>6</v>
      </c>
      <c r="N121" s="74">
        <v>467.3</v>
      </c>
      <c r="O121" s="75"/>
      <c r="P121" s="36"/>
      <c r="Q121" s="75">
        <f t="shared" si="10"/>
        <v>467.4837</v>
      </c>
      <c r="R121" s="75"/>
      <c r="S121" s="75"/>
      <c r="T121" s="75"/>
      <c r="U121" s="76"/>
      <c r="V121" s="35"/>
      <c r="W121" s="35"/>
      <c r="X121" s="74">
        <f>X120/N120*N121</f>
        <v>272.41663083838188</v>
      </c>
      <c r="Y121" s="75"/>
      <c r="Z121" s="36"/>
      <c r="AA121" s="75" t="e">
        <f t="shared" si="11"/>
        <v>#DIV/0!</v>
      </c>
      <c r="AB121" s="76"/>
      <c r="AC121" s="74"/>
      <c r="AD121" s="75"/>
      <c r="AE121" s="36"/>
      <c r="AF121" s="75"/>
      <c r="AG121" s="76"/>
      <c r="AH121" s="74">
        <v>778.9</v>
      </c>
      <c r="AI121" s="75"/>
      <c r="AJ121" s="36"/>
      <c r="AK121" s="75">
        <v>779.00159999999994</v>
      </c>
      <c r="AL121" s="75"/>
      <c r="AM121" s="75"/>
      <c r="AN121" s="75"/>
      <c r="AO121" s="76"/>
    </row>
    <row r="122" spans="2:41" ht="19.25" hidden="1" customHeight="1" thickBot="1" x14ac:dyDescent="0.25">
      <c r="B122" s="190"/>
      <c r="C122" s="189"/>
      <c r="D122" s="189"/>
      <c r="E122" s="18">
        <f>E121-1</f>
        <v>8</v>
      </c>
      <c r="F122" s="196" t="s">
        <v>18</v>
      </c>
      <c r="G122" s="196"/>
      <c r="H122" s="199"/>
      <c r="I122" s="19"/>
      <c r="J122" s="19" t="s">
        <v>6</v>
      </c>
      <c r="K122" s="199"/>
      <c r="L122" s="19"/>
      <c r="M122" s="19" t="s">
        <v>6</v>
      </c>
      <c r="N122" s="74">
        <f>0.0713*E122^3-2.293*E122^2+38.911*E122+251.04</f>
        <v>452.08159999999998</v>
      </c>
      <c r="O122" s="75"/>
      <c r="P122" s="36"/>
      <c r="Q122" s="75">
        <f t="shared" si="10"/>
        <v>452.08159999999998</v>
      </c>
      <c r="R122" s="75"/>
      <c r="S122" s="75"/>
      <c r="T122" s="75"/>
      <c r="U122" s="76"/>
      <c r="V122" s="35"/>
      <c r="W122" s="35"/>
      <c r="X122" s="74" t="e">
        <f>(0.0713*E122^3-2.293*E122^2+38.911*E122+251.04)*X$29/N$29</f>
        <v>#DIV/0!</v>
      </c>
      <c r="Y122" s="75"/>
      <c r="Z122" s="36"/>
      <c r="AA122" s="75" t="e">
        <f t="shared" si="11"/>
        <v>#DIV/0!</v>
      </c>
      <c r="AB122" s="76"/>
      <c r="AC122" s="74"/>
      <c r="AD122" s="75"/>
      <c r="AE122" s="36"/>
      <c r="AF122" s="75"/>
      <c r="AG122" s="76"/>
      <c r="AH122" s="74">
        <v>765.2</v>
      </c>
      <c r="AI122" s="75"/>
      <c r="AJ122" s="36"/>
      <c r="AK122" s="75">
        <v>762.84199999999998</v>
      </c>
      <c r="AL122" s="75"/>
      <c r="AM122" s="75"/>
      <c r="AN122" s="75"/>
      <c r="AO122" s="76"/>
    </row>
    <row r="123" spans="2:41" ht="19.25" hidden="1" customHeight="1" thickBot="1" x14ac:dyDescent="0.25">
      <c r="B123" s="190"/>
      <c r="C123" s="189"/>
      <c r="D123" s="189"/>
      <c r="E123" s="18">
        <f>E122-1</f>
        <v>7</v>
      </c>
      <c r="F123" s="196" t="s">
        <v>18</v>
      </c>
      <c r="G123" s="196"/>
      <c r="H123" s="199"/>
      <c r="I123" s="19"/>
      <c r="J123" s="19" t="s">
        <v>6</v>
      </c>
      <c r="K123" s="199"/>
      <c r="L123" s="19"/>
      <c r="M123" s="19" t="s">
        <v>6</v>
      </c>
      <c r="N123" s="74">
        <f>0.0713*E123^3-2.293*E123^2+38.911*E123+251.04</f>
        <v>435.51589999999999</v>
      </c>
      <c r="O123" s="75"/>
      <c r="P123" s="36"/>
      <c r="Q123" s="75">
        <f t="shared" si="10"/>
        <v>435.51589999999999</v>
      </c>
      <c r="R123" s="75"/>
      <c r="S123" s="75"/>
      <c r="T123" s="75"/>
      <c r="U123" s="76"/>
      <c r="V123" s="35"/>
      <c r="W123" s="35"/>
      <c r="X123" s="74" t="e">
        <f>(0.0713*E123^3-2.293*E123^2+38.911*E123+251.04)*X$29/N$29</f>
        <v>#DIV/0!</v>
      </c>
      <c r="Y123" s="75"/>
      <c r="Z123" s="36"/>
      <c r="AA123" s="75" t="e">
        <f t="shared" si="11"/>
        <v>#DIV/0!</v>
      </c>
      <c r="AB123" s="76"/>
      <c r="AC123" s="74"/>
      <c r="AD123" s="75"/>
      <c r="AE123" s="36"/>
      <c r="AF123" s="75"/>
      <c r="AG123" s="76"/>
      <c r="AH123" s="74">
        <v>745.1</v>
      </c>
      <c r="AI123" s="75"/>
      <c r="AJ123" s="36"/>
      <c r="AK123" s="75">
        <v>746.69560000000001</v>
      </c>
      <c r="AL123" s="75"/>
      <c r="AM123" s="75"/>
      <c r="AN123" s="75"/>
      <c r="AO123" s="76"/>
    </row>
    <row r="124" spans="2:41" ht="19.25" hidden="1" customHeight="1" thickBot="1" x14ac:dyDescent="0.25">
      <c r="B124" s="190"/>
      <c r="C124" s="189"/>
      <c r="D124" s="189"/>
      <c r="E124" s="18">
        <f>E123-1</f>
        <v>6</v>
      </c>
      <c r="F124" s="196" t="s">
        <v>18</v>
      </c>
      <c r="G124" s="196"/>
      <c r="H124" s="199"/>
      <c r="I124" s="19"/>
      <c r="J124" s="19" t="s">
        <v>6</v>
      </c>
      <c r="K124" s="199"/>
      <c r="L124" s="19"/>
      <c r="M124" s="19" t="s">
        <v>6</v>
      </c>
      <c r="N124" s="74">
        <f>0.0713*E124^3-2.293*E124^2+38.911*E124+251.04</f>
        <v>417.35879999999997</v>
      </c>
      <c r="O124" s="75"/>
      <c r="P124" s="36"/>
      <c r="Q124" s="75">
        <f t="shared" si="10"/>
        <v>417.35879999999997</v>
      </c>
      <c r="R124" s="75"/>
      <c r="S124" s="75"/>
      <c r="T124" s="75"/>
      <c r="U124" s="76"/>
      <c r="V124" s="35"/>
      <c r="W124" s="35"/>
      <c r="X124" s="74" t="e">
        <f>(0.0713*E124^3-2.293*E124^2+38.911*E124+251.04)*X$29/N$29</f>
        <v>#DIV/0!</v>
      </c>
      <c r="Y124" s="75"/>
      <c r="Z124" s="36"/>
      <c r="AA124" s="75" t="e">
        <f t="shared" si="11"/>
        <v>#DIV/0!</v>
      </c>
      <c r="AB124" s="76"/>
      <c r="AC124" s="74"/>
      <c r="AD124" s="75"/>
      <c r="AE124" s="36"/>
      <c r="AF124" s="75"/>
      <c r="AG124" s="76"/>
      <c r="AH124" s="74">
        <v>730.4</v>
      </c>
      <c r="AI124" s="75"/>
      <c r="AJ124" s="36"/>
      <c r="AK124" s="75">
        <v>730.39679999999998</v>
      </c>
      <c r="AL124" s="75"/>
      <c r="AM124" s="75"/>
      <c r="AN124" s="75"/>
      <c r="AO124" s="76"/>
    </row>
    <row r="125" spans="2:41" ht="19.25" hidden="1" customHeight="1" thickBot="1" x14ac:dyDescent="0.25">
      <c r="B125" s="190"/>
      <c r="C125" s="189"/>
      <c r="D125" s="189"/>
      <c r="E125" s="18">
        <f>E124-1</f>
        <v>5</v>
      </c>
      <c r="F125" s="196" t="s">
        <v>18</v>
      </c>
      <c r="G125" s="196"/>
      <c r="H125" s="199"/>
      <c r="I125" s="19"/>
      <c r="J125" s="19" t="s">
        <v>6</v>
      </c>
      <c r="K125" s="199"/>
      <c r="L125" s="19"/>
      <c r="M125" s="19" t="s">
        <v>6</v>
      </c>
      <c r="N125" s="80">
        <f>0.0713*E125^3-2.293*E125^2+38.911*E125+251.04</f>
        <v>397.1825</v>
      </c>
      <c r="O125" s="81"/>
      <c r="P125" s="36"/>
      <c r="Q125" s="81">
        <f t="shared" si="10"/>
        <v>397.1825</v>
      </c>
      <c r="R125" s="81"/>
      <c r="S125" s="81"/>
      <c r="T125" s="81"/>
      <c r="U125" s="82"/>
      <c r="V125" s="37"/>
      <c r="W125" s="37"/>
      <c r="X125" s="74" t="e">
        <f>(0.0713*E125^3-2.293*E125^2+38.911*E125+251.04)*X$29/N$29</f>
        <v>#DIV/0!</v>
      </c>
      <c r="Y125" s="75"/>
      <c r="Z125" s="36"/>
      <c r="AA125" s="81" t="e">
        <f t="shared" si="11"/>
        <v>#DIV/0!</v>
      </c>
      <c r="AB125" s="82"/>
      <c r="AC125" s="80"/>
      <c r="AD125" s="81"/>
      <c r="AE125" s="36"/>
      <c r="AF125" s="81"/>
      <c r="AG125" s="82"/>
      <c r="AH125" s="80">
        <v>713.9</v>
      </c>
      <c r="AI125" s="81"/>
      <c r="AJ125" s="36"/>
      <c r="AK125" s="81">
        <v>713.78</v>
      </c>
      <c r="AL125" s="81"/>
      <c r="AM125" s="81"/>
      <c r="AN125" s="81"/>
      <c r="AO125" s="82"/>
    </row>
    <row r="126" spans="2:41" ht="19.25" customHeight="1" thickBot="1" x14ac:dyDescent="0.25">
      <c r="B126" s="128" t="s">
        <v>20</v>
      </c>
      <c r="C126" s="115">
        <v>31.8</v>
      </c>
      <c r="D126" s="118" t="s">
        <v>18</v>
      </c>
      <c r="E126" s="210" t="s">
        <v>21</v>
      </c>
      <c r="F126" s="210" t="s">
        <v>22</v>
      </c>
      <c r="G126" s="210">
        <v>55</v>
      </c>
      <c r="H126" s="210" t="s">
        <v>18</v>
      </c>
      <c r="I126" s="213" t="s">
        <v>23</v>
      </c>
      <c r="J126" s="201">
        <f>N23</f>
        <v>6.1</v>
      </c>
      <c r="K126" s="202"/>
      <c r="L126" s="112" t="s">
        <v>6</v>
      </c>
      <c r="M126" s="207"/>
      <c r="N126" s="162" t="s">
        <v>24</v>
      </c>
      <c r="O126" s="149"/>
      <c r="P126" s="149" t="s">
        <v>25</v>
      </c>
      <c r="Q126" s="142">
        <f>C126*J126/G126</f>
        <v>3.5269090909090908</v>
      </c>
      <c r="R126" s="136" t="s">
        <v>6</v>
      </c>
      <c r="S126" s="139" t="s">
        <v>26</v>
      </c>
      <c r="T126" s="142">
        <f>Q126*3.28</f>
        <v>11.568261818181817</v>
      </c>
      <c r="U126" s="165" t="s">
        <v>7</v>
      </c>
      <c r="V126" s="152"/>
      <c r="W126" s="149" t="s">
        <v>51</v>
      </c>
      <c r="X126" s="149" t="s">
        <v>25</v>
      </c>
      <c r="Y126" s="43" t="s">
        <v>27</v>
      </c>
      <c r="Z126" s="126">
        <f>-1.225*J126^3+7.3179*J126^2-14.876*J126+23.736</f>
        <v>-72.760265999999959</v>
      </c>
      <c r="AA126" s="126"/>
      <c r="AB126" s="43" t="s">
        <v>18</v>
      </c>
      <c r="AC126" s="155" t="s">
        <v>21</v>
      </c>
      <c r="AD126" s="158" t="s">
        <v>28</v>
      </c>
      <c r="AE126" s="159"/>
      <c r="AF126" s="159"/>
      <c r="AG126" s="159"/>
      <c r="AH126" s="159"/>
      <c r="AI126" s="44" t="s">
        <v>29</v>
      </c>
      <c r="AJ126" s="160">
        <f>(0.0713*Z127^3-2.293*Z127^2+38.911*Z127+251.04)*3*3/J126/J126</f>
        <v>124.91208092422141</v>
      </c>
      <c r="AK126" s="160"/>
      <c r="AL126" s="47" t="s">
        <v>30</v>
      </c>
      <c r="AM126" s="47" t="s">
        <v>26</v>
      </c>
      <c r="AN126" s="45">
        <f>AJ126/10.76391</f>
        <v>11.604712499846377</v>
      </c>
      <c r="AO126" s="56" t="s">
        <v>31</v>
      </c>
    </row>
    <row r="127" spans="2:41" ht="19.25" customHeight="1" thickBot="1" x14ac:dyDescent="0.25">
      <c r="B127" s="129"/>
      <c r="C127" s="116"/>
      <c r="D127" s="119"/>
      <c r="E127" s="211"/>
      <c r="F127" s="211"/>
      <c r="G127" s="211"/>
      <c r="H127" s="211"/>
      <c r="I127" s="214"/>
      <c r="J127" s="203"/>
      <c r="K127" s="204"/>
      <c r="L127" s="113"/>
      <c r="M127" s="208"/>
      <c r="N127" s="163"/>
      <c r="O127" s="150"/>
      <c r="P127" s="150"/>
      <c r="Q127" s="143"/>
      <c r="R127" s="137"/>
      <c r="S127" s="140"/>
      <c r="T127" s="143"/>
      <c r="U127" s="166"/>
      <c r="V127" s="153"/>
      <c r="W127" s="150"/>
      <c r="X127" s="150"/>
      <c r="Y127" s="156" t="s">
        <v>32</v>
      </c>
      <c r="Z127" s="161">
        <f>IF(J126&gt;=2.57,Z129,Z126)</f>
        <v>12.3688427</v>
      </c>
      <c r="AA127" s="161"/>
      <c r="AB127" s="156" t="s">
        <v>18</v>
      </c>
      <c r="AC127" s="156"/>
      <c r="AD127" s="64" t="s">
        <v>33</v>
      </c>
      <c r="AE127" s="65"/>
      <c r="AF127" s="65"/>
      <c r="AG127" s="65"/>
      <c r="AH127" s="65"/>
      <c r="AI127" s="49" t="s">
        <v>29</v>
      </c>
      <c r="AJ127" s="66">
        <f>298/512*AJ126</f>
        <v>72.702734600425742</v>
      </c>
      <c r="AK127" s="66"/>
      <c r="AL127" s="47" t="s">
        <v>30</v>
      </c>
      <c r="AM127" s="47" t="s">
        <v>26</v>
      </c>
      <c r="AN127" s="45">
        <f>AJ127/10.76391</f>
        <v>6.7543053221762115</v>
      </c>
      <c r="AO127" s="56" t="s">
        <v>31</v>
      </c>
    </row>
    <row r="128" spans="2:41" ht="19.25" customHeight="1" thickBot="1" x14ac:dyDescent="0.25">
      <c r="B128" s="129"/>
      <c r="C128" s="116"/>
      <c r="D128" s="119"/>
      <c r="E128" s="211"/>
      <c r="F128" s="211"/>
      <c r="G128" s="211"/>
      <c r="H128" s="211"/>
      <c r="I128" s="214"/>
      <c r="J128" s="203"/>
      <c r="K128" s="204"/>
      <c r="L128" s="113"/>
      <c r="M128" s="208"/>
      <c r="N128" s="163"/>
      <c r="O128" s="150"/>
      <c r="P128" s="150"/>
      <c r="Q128" s="143"/>
      <c r="R128" s="137"/>
      <c r="S128" s="140"/>
      <c r="T128" s="143"/>
      <c r="U128" s="166"/>
      <c r="V128" s="153"/>
      <c r="W128" s="150"/>
      <c r="X128" s="150"/>
      <c r="Y128" s="156"/>
      <c r="Z128" s="161"/>
      <c r="AA128" s="161"/>
      <c r="AB128" s="156"/>
      <c r="AC128" s="156"/>
      <c r="AD128" s="64" t="s">
        <v>34</v>
      </c>
      <c r="AE128" s="65"/>
      <c r="AF128" s="65"/>
      <c r="AG128" s="65"/>
      <c r="AH128" s="65"/>
      <c r="AI128" s="49" t="s">
        <v>29</v>
      </c>
      <c r="AJ128" s="66">
        <f>AJ126/AJ127*AJ129</f>
        <v>347.253332225066</v>
      </c>
      <c r="AK128" s="66"/>
      <c r="AL128" s="47" t="s">
        <v>30</v>
      </c>
      <c r="AM128" s="47" t="s">
        <v>26</v>
      </c>
      <c r="AN128" s="45">
        <f>AJ128/10.76391</f>
        <v>32.260891462773849</v>
      </c>
      <c r="AO128" s="56" t="s">
        <v>31</v>
      </c>
    </row>
    <row r="129" spans="2:41" ht="19.25" customHeight="1" thickBot="1" x14ac:dyDescent="0.25">
      <c r="B129" s="174"/>
      <c r="C129" s="176"/>
      <c r="D129" s="173"/>
      <c r="E129" s="212"/>
      <c r="F129" s="212"/>
      <c r="G129" s="212"/>
      <c r="H129" s="212"/>
      <c r="I129" s="215"/>
      <c r="J129" s="205"/>
      <c r="K129" s="206"/>
      <c r="L129" s="114"/>
      <c r="M129" s="209"/>
      <c r="N129" s="164"/>
      <c r="O129" s="151"/>
      <c r="P129" s="151"/>
      <c r="Q129" s="144"/>
      <c r="R129" s="138"/>
      <c r="S129" s="141"/>
      <c r="T129" s="144"/>
      <c r="U129" s="167"/>
      <c r="V129" s="154"/>
      <c r="W129" s="151"/>
      <c r="X129" s="151"/>
      <c r="Y129" s="49" t="s">
        <v>35</v>
      </c>
      <c r="Z129" s="127">
        <f>-0.0023*J126^3+0.0509*J126^2-0.5169*J126+14.15</f>
        <v>12.3688427</v>
      </c>
      <c r="AA129" s="127"/>
      <c r="AB129" s="49" t="s">
        <v>18</v>
      </c>
      <c r="AC129" s="157"/>
      <c r="AD129" s="64" t="s">
        <v>36</v>
      </c>
      <c r="AE129" s="65"/>
      <c r="AF129" s="65"/>
      <c r="AG129" s="65"/>
      <c r="AH129" s="65"/>
      <c r="AI129" s="49" t="s">
        <v>29</v>
      </c>
      <c r="AJ129" s="66">
        <f>(0.0279*Z127^3-0.6654*Z127^2+21.401*Z127+619.92)*3*3/J126/J126</f>
        <v>202.11229102162045</v>
      </c>
      <c r="AK129" s="66"/>
      <c r="AL129" s="47" t="s">
        <v>30</v>
      </c>
      <c r="AM129" s="47" t="s">
        <v>26</v>
      </c>
      <c r="AN129" s="45">
        <f>AJ129/10.76391</f>
        <v>18.776846984192591</v>
      </c>
      <c r="AO129" s="56" t="s">
        <v>31</v>
      </c>
    </row>
  </sheetData>
  <sheetProtection algorithmName="SHA-512" hashValue="Oe7dX4LYMrLbYDmlWjfaU8beS8hrLaJ1SjGD4FGqmu7vVDxI+ILWZIMa/RLQ1wjvSudAF2UxfUGZ6Mpy/uyjHA==" saltValue="epMKWd+LVuB0YsnNhzM1uw==" spinCount="100000" sheet="1" selectLockedCells="1"/>
  <mergeCells count="617">
    <mergeCell ref="N10:W10"/>
    <mergeCell ref="N13:W14"/>
    <mergeCell ref="N2:AO2"/>
    <mergeCell ref="N3:AO3"/>
    <mergeCell ref="N17:W17"/>
    <mergeCell ref="N16:W16"/>
    <mergeCell ref="N11:W12"/>
    <mergeCell ref="AD5:AO5"/>
    <mergeCell ref="AD6:AO7"/>
    <mergeCell ref="AD8:AO11"/>
    <mergeCell ref="N6:W8"/>
    <mergeCell ref="N5:W5"/>
    <mergeCell ref="N77:AO78"/>
    <mergeCell ref="N103:AO104"/>
    <mergeCell ref="AJ127:AK127"/>
    <mergeCell ref="AD128:AH128"/>
    <mergeCell ref="AJ128:AK128"/>
    <mergeCell ref="Z129:AA129"/>
    <mergeCell ref="AD129:AH129"/>
    <mergeCell ref="AJ129:AK129"/>
    <mergeCell ref="U126:U129"/>
    <mergeCell ref="X126:X129"/>
    <mergeCell ref="Z126:AA126"/>
    <mergeCell ref="AC126:AC129"/>
    <mergeCell ref="AD126:AH126"/>
    <mergeCell ref="AJ126:AK126"/>
    <mergeCell ref="Y127:Y128"/>
    <mergeCell ref="Z127:AA128"/>
    <mergeCell ref="AK124:AO124"/>
    <mergeCell ref="AA124:AB124"/>
    <mergeCell ref="AC124:AD124"/>
    <mergeCell ref="AK125:AO125"/>
    <mergeCell ref="AH125:AI125"/>
    <mergeCell ref="AF124:AG124"/>
    <mergeCell ref="AH124:AI124"/>
    <mergeCell ref="N125:O125"/>
    <mergeCell ref="X125:Y125"/>
    <mergeCell ref="AA125:AB125"/>
    <mergeCell ref="AC125:AD125"/>
    <mergeCell ref="AF125:AG125"/>
    <mergeCell ref="N124:O124"/>
    <mergeCell ref="Q124:U124"/>
    <mergeCell ref="X124:Y124"/>
    <mergeCell ref="S126:S129"/>
    <mergeCell ref="T126:T129"/>
    <mergeCell ref="R126:R129"/>
    <mergeCell ref="AB127:AB128"/>
    <mergeCell ref="AD127:AH127"/>
    <mergeCell ref="J126:K129"/>
    <mergeCell ref="L126:L129"/>
    <mergeCell ref="M126:M129"/>
    <mergeCell ref="N126:O129"/>
    <mergeCell ref="P126:P129"/>
    <mergeCell ref="Q126:Q129"/>
    <mergeCell ref="V126:V129"/>
    <mergeCell ref="W126:W129"/>
    <mergeCell ref="B126:B129"/>
    <mergeCell ref="C126:C129"/>
    <mergeCell ref="D126:D129"/>
    <mergeCell ref="E126:E129"/>
    <mergeCell ref="F126:F129"/>
    <mergeCell ref="G126:G129"/>
    <mergeCell ref="H126:H129"/>
    <mergeCell ref="I126:I129"/>
    <mergeCell ref="B107:D125"/>
    <mergeCell ref="F107:G107"/>
    <mergeCell ref="F125:G125"/>
    <mergeCell ref="F124:G124"/>
    <mergeCell ref="F119:G119"/>
    <mergeCell ref="F115:G115"/>
    <mergeCell ref="F123:G123"/>
    <mergeCell ref="N123:O123"/>
    <mergeCell ref="Q123:U123"/>
    <mergeCell ref="N119:O119"/>
    <mergeCell ref="Q119:U119"/>
    <mergeCell ref="N115:O115"/>
    <mergeCell ref="Q115:U115"/>
    <mergeCell ref="Q125:U125"/>
    <mergeCell ref="X123:Y123"/>
    <mergeCell ref="AA123:AB123"/>
    <mergeCell ref="AC123:AD123"/>
    <mergeCell ref="AF123:AG123"/>
    <mergeCell ref="AH123:AI123"/>
    <mergeCell ref="AK123:AO123"/>
    <mergeCell ref="F122:G122"/>
    <mergeCell ref="N122:O122"/>
    <mergeCell ref="Q122:U122"/>
    <mergeCell ref="X122:Y122"/>
    <mergeCell ref="AA122:AB122"/>
    <mergeCell ref="AC122:AD122"/>
    <mergeCell ref="AF122:AG122"/>
    <mergeCell ref="AH122:AI122"/>
    <mergeCell ref="AK122:AO122"/>
    <mergeCell ref="AF120:AG120"/>
    <mergeCell ref="AH120:AI120"/>
    <mergeCell ref="AK120:AO120"/>
    <mergeCell ref="F121:G121"/>
    <mergeCell ref="N121:O121"/>
    <mergeCell ref="Q121:U121"/>
    <mergeCell ref="X121:Y121"/>
    <mergeCell ref="AA121:AB121"/>
    <mergeCell ref="AC121:AD121"/>
    <mergeCell ref="AF121:AG121"/>
    <mergeCell ref="F120:G120"/>
    <mergeCell ref="N120:O120"/>
    <mergeCell ref="Q120:U120"/>
    <mergeCell ref="X120:Y120"/>
    <mergeCell ref="AA120:AB120"/>
    <mergeCell ref="AC120:AD120"/>
    <mergeCell ref="AH121:AI121"/>
    <mergeCell ref="AK121:AO121"/>
    <mergeCell ref="X119:Y119"/>
    <mergeCell ref="AA119:AB119"/>
    <mergeCell ref="AC119:AD119"/>
    <mergeCell ref="AF119:AG119"/>
    <mergeCell ref="AH119:AI119"/>
    <mergeCell ref="AK119:AO119"/>
    <mergeCell ref="F118:G118"/>
    <mergeCell ref="N118:O118"/>
    <mergeCell ref="Q118:U118"/>
    <mergeCell ref="X118:Y118"/>
    <mergeCell ref="AA118:AB118"/>
    <mergeCell ref="AC118:AD118"/>
    <mergeCell ref="AF118:AG118"/>
    <mergeCell ref="AH118:AI118"/>
    <mergeCell ref="AK118:AO118"/>
    <mergeCell ref="AF116:AG116"/>
    <mergeCell ref="AH116:AI116"/>
    <mergeCell ref="AK116:AO116"/>
    <mergeCell ref="F117:G117"/>
    <mergeCell ref="N117:O117"/>
    <mergeCell ref="Q117:U117"/>
    <mergeCell ref="X117:Y117"/>
    <mergeCell ref="AA117:AB117"/>
    <mergeCell ref="AC117:AD117"/>
    <mergeCell ref="AF117:AG117"/>
    <mergeCell ref="F116:G116"/>
    <mergeCell ref="N116:O116"/>
    <mergeCell ref="Q116:U116"/>
    <mergeCell ref="X116:Y116"/>
    <mergeCell ref="AA116:AB116"/>
    <mergeCell ref="AC116:AD116"/>
    <mergeCell ref="AH117:AI117"/>
    <mergeCell ref="AK117:AO117"/>
    <mergeCell ref="X115:Y115"/>
    <mergeCell ref="AA115:AB115"/>
    <mergeCell ref="AC115:AD115"/>
    <mergeCell ref="AF115:AG115"/>
    <mergeCell ref="AH115:AI115"/>
    <mergeCell ref="AK115:AO115"/>
    <mergeCell ref="F114:G114"/>
    <mergeCell ref="N114:O114"/>
    <mergeCell ref="Q114:U114"/>
    <mergeCell ref="X114:Y114"/>
    <mergeCell ref="AA114:AB114"/>
    <mergeCell ref="AC114:AD114"/>
    <mergeCell ref="AF114:AG114"/>
    <mergeCell ref="AH114:AI114"/>
    <mergeCell ref="AK114:AO114"/>
    <mergeCell ref="AF112:AG112"/>
    <mergeCell ref="AH112:AI112"/>
    <mergeCell ref="AK112:AO112"/>
    <mergeCell ref="F113:G113"/>
    <mergeCell ref="N113:O113"/>
    <mergeCell ref="Q113:U113"/>
    <mergeCell ref="X113:Y113"/>
    <mergeCell ref="AA113:AB113"/>
    <mergeCell ref="AC113:AD113"/>
    <mergeCell ref="AF113:AG113"/>
    <mergeCell ref="F112:G112"/>
    <mergeCell ref="N112:O112"/>
    <mergeCell ref="Q112:U112"/>
    <mergeCell ref="X112:Y112"/>
    <mergeCell ref="AA112:AB112"/>
    <mergeCell ref="AC112:AD112"/>
    <mergeCell ref="AH113:AI113"/>
    <mergeCell ref="AK113:AO113"/>
    <mergeCell ref="AK110:AO110"/>
    <mergeCell ref="F111:G111"/>
    <mergeCell ref="N111:O111"/>
    <mergeCell ref="Q111:U111"/>
    <mergeCell ref="X111:Y111"/>
    <mergeCell ref="AA111:AB111"/>
    <mergeCell ref="AC111:AD111"/>
    <mergeCell ref="AF111:AG111"/>
    <mergeCell ref="AH111:AI111"/>
    <mergeCell ref="AK111:AO111"/>
    <mergeCell ref="AH109:AI109"/>
    <mergeCell ref="AK109:AO109"/>
    <mergeCell ref="F110:G110"/>
    <mergeCell ref="N110:O110"/>
    <mergeCell ref="Q110:U110"/>
    <mergeCell ref="X110:Y110"/>
    <mergeCell ref="AA110:AB110"/>
    <mergeCell ref="AC110:AD110"/>
    <mergeCell ref="AF110:AG110"/>
    <mergeCell ref="AH110:AI110"/>
    <mergeCell ref="N109:O109"/>
    <mergeCell ref="Q109:U109"/>
    <mergeCell ref="X109:Y109"/>
    <mergeCell ref="AA109:AB109"/>
    <mergeCell ref="AC109:AD109"/>
    <mergeCell ref="AF109:AG109"/>
    <mergeCell ref="H107:H125"/>
    <mergeCell ref="K107:K125"/>
    <mergeCell ref="N107:O107"/>
    <mergeCell ref="Q107:U107"/>
    <mergeCell ref="F108:G108"/>
    <mergeCell ref="N108:O108"/>
    <mergeCell ref="Q108:U108"/>
    <mergeCell ref="F109:G109"/>
    <mergeCell ref="X108:Y108"/>
    <mergeCell ref="AA108:AB108"/>
    <mergeCell ref="AC108:AD108"/>
    <mergeCell ref="AF108:AG108"/>
    <mergeCell ref="AH108:AI108"/>
    <mergeCell ref="AK108:AO108"/>
    <mergeCell ref="X107:Y107"/>
    <mergeCell ref="AA107:AB107"/>
    <mergeCell ref="AC107:AD107"/>
    <mergeCell ref="AF107:AG107"/>
    <mergeCell ref="AH107:AI107"/>
    <mergeCell ref="AK107:AO107"/>
    <mergeCell ref="AD100:AH100"/>
    <mergeCell ref="AJ100:AK100"/>
    <mergeCell ref="B105:M106"/>
    <mergeCell ref="N105:U106"/>
    <mergeCell ref="X105:AB106"/>
    <mergeCell ref="AC105:AG106"/>
    <mergeCell ref="AH105:AO106"/>
    <mergeCell ref="V97:V100"/>
    <mergeCell ref="W97:W100"/>
    <mergeCell ref="AD97:AH97"/>
    <mergeCell ref="AJ97:AK97"/>
    <mergeCell ref="Y98:Y99"/>
    <mergeCell ref="Z98:AA99"/>
    <mergeCell ref="AB98:AB99"/>
    <mergeCell ref="AD98:AH98"/>
    <mergeCell ref="AJ98:AK98"/>
    <mergeCell ref="AD99:AH99"/>
    <mergeCell ref="AJ99:AK99"/>
    <mergeCell ref="P97:P100"/>
    <mergeCell ref="Q97:Q100"/>
    <mergeCell ref="U97:U100"/>
    <mergeCell ref="X97:X100"/>
    <mergeCell ref="Z97:AA97"/>
    <mergeCell ref="AC97:AC100"/>
    <mergeCell ref="Z100:AA100"/>
    <mergeCell ref="H97:H100"/>
    <mergeCell ref="I97:I100"/>
    <mergeCell ref="J97:K100"/>
    <mergeCell ref="L97:L100"/>
    <mergeCell ref="M97:M100"/>
    <mergeCell ref="N97:O100"/>
    <mergeCell ref="B97:B100"/>
    <mergeCell ref="C97:C100"/>
    <mergeCell ref="D97:D100"/>
    <mergeCell ref="E97:E100"/>
    <mergeCell ref="F97:F100"/>
    <mergeCell ref="G97:G100"/>
    <mergeCell ref="S97:S100"/>
    <mergeCell ref="T97:T100"/>
    <mergeCell ref="R97:R100"/>
    <mergeCell ref="AK95:AO95"/>
    <mergeCell ref="I96:J96"/>
    <mergeCell ref="N96:O96"/>
    <mergeCell ref="Q96:U96"/>
    <mergeCell ref="X96:AB96"/>
    <mergeCell ref="AC96:AG96"/>
    <mergeCell ref="AH96:AI96"/>
    <mergeCell ref="AK96:AO96"/>
    <mergeCell ref="I95:J95"/>
    <mergeCell ref="N95:O95"/>
    <mergeCell ref="Q95:U95"/>
    <mergeCell ref="X95:AB95"/>
    <mergeCell ref="AC95:AG95"/>
    <mergeCell ref="AH95:AI95"/>
    <mergeCell ref="AK93:AO93"/>
    <mergeCell ref="I94:J94"/>
    <mergeCell ref="N94:O94"/>
    <mergeCell ref="Q94:U94"/>
    <mergeCell ref="X94:AB94"/>
    <mergeCell ref="AC94:AG94"/>
    <mergeCell ref="AH94:AI94"/>
    <mergeCell ref="AK94:AO94"/>
    <mergeCell ref="I93:J93"/>
    <mergeCell ref="N93:O93"/>
    <mergeCell ref="Q93:U93"/>
    <mergeCell ref="X93:AB93"/>
    <mergeCell ref="AC93:AG93"/>
    <mergeCell ref="AH93:AI93"/>
    <mergeCell ref="I92:J92"/>
    <mergeCell ref="N92:O92"/>
    <mergeCell ref="Q92:U92"/>
    <mergeCell ref="X92:AB92"/>
    <mergeCell ref="AC92:AG92"/>
    <mergeCell ref="AH92:AI92"/>
    <mergeCell ref="AK92:AO92"/>
    <mergeCell ref="I91:J91"/>
    <mergeCell ref="N91:O91"/>
    <mergeCell ref="Q91:U91"/>
    <mergeCell ref="X91:AB91"/>
    <mergeCell ref="AC91:AG91"/>
    <mergeCell ref="AH91:AI91"/>
    <mergeCell ref="AK89:AO89"/>
    <mergeCell ref="I90:J90"/>
    <mergeCell ref="N90:O90"/>
    <mergeCell ref="Q90:U90"/>
    <mergeCell ref="X90:AB90"/>
    <mergeCell ref="AC90:AG90"/>
    <mergeCell ref="AH90:AI90"/>
    <mergeCell ref="AK90:AO90"/>
    <mergeCell ref="I89:J89"/>
    <mergeCell ref="N89:O89"/>
    <mergeCell ref="Q89:U89"/>
    <mergeCell ref="X89:AB89"/>
    <mergeCell ref="AC89:AG89"/>
    <mergeCell ref="AH89:AI89"/>
    <mergeCell ref="K82:K96"/>
    <mergeCell ref="N82:O82"/>
    <mergeCell ref="Q82:U82"/>
    <mergeCell ref="I85:J85"/>
    <mergeCell ref="N85:O85"/>
    <mergeCell ref="Q85:U85"/>
    <mergeCell ref="I88:J88"/>
    <mergeCell ref="N88:O88"/>
    <mergeCell ref="Q88:U88"/>
    <mergeCell ref="AK91:AO91"/>
    <mergeCell ref="B82:D96"/>
    <mergeCell ref="E82:G96"/>
    <mergeCell ref="AH85:AI85"/>
    <mergeCell ref="AK85:AO85"/>
    <mergeCell ref="I86:J86"/>
    <mergeCell ref="N86:O86"/>
    <mergeCell ref="Q86:U86"/>
    <mergeCell ref="X86:AB86"/>
    <mergeCell ref="AC86:AG86"/>
    <mergeCell ref="AH86:AI86"/>
    <mergeCell ref="X88:AB88"/>
    <mergeCell ref="AC88:AG88"/>
    <mergeCell ref="AH88:AI88"/>
    <mergeCell ref="AK88:AO88"/>
    <mergeCell ref="AK86:AO86"/>
    <mergeCell ref="I87:J87"/>
    <mergeCell ref="N87:O87"/>
    <mergeCell ref="Q87:U87"/>
    <mergeCell ref="X87:AB87"/>
    <mergeCell ref="AC87:AG87"/>
    <mergeCell ref="AH87:AI87"/>
    <mergeCell ref="AK87:AO87"/>
    <mergeCell ref="X85:AB85"/>
    <mergeCell ref="AC85:AG85"/>
    <mergeCell ref="B79:M80"/>
    <mergeCell ref="N79:U80"/>
    <mergeCell ref="X79:AB80"/>
    <mergeCell ref="AC79:AG80"/>
    <mergeCell ref="AH79:AO80"/>
    <mergeCell ref="AK83:AO83"/>
    <mergeCell ref="I84:J84"/>
    <mergeCell ref="N84:O84"/>
    <mergeCell ref="Q84:U84"/>
    <mergeCell ref="X84:AB84"/>
    <mergeCell ref="AC84:AG84"/>
    <mergeCell ref="AH84:AI84"/>
    <mergeCell ref="AK84:AO84"/>
    <mergeCell ref="X82:AB82"/>
    <mergeCell ref="AC82:AG82"/>
    <mergeCell ref="AH82:AI82"/>
    <mergeCell ref="AK82:AO82"/>
    <mergeCell ref="I83:J83"/>
    <mergeCell ref="N83:O83"/>
    <mergeCell ref="Q83:U83"/>
    <mergeCell ref="X83:AB83"/>
    <mergeCell ref="AC83:AG83"/>
    <mergeCell ref="AH83:AI83"/>
    <mergeCell ref="I82:J82"/>
    <mergeCell ref="B71:B74"/>
    <mergeCell ref="C71:C74"/>
    <mergeCell ref="P71:P74"/>
    <mergeCell ref="Q71:Q74"/>
    <mergeCell ref="U71:U74"/>
    <mergeCell ref="X71:X74"/>
    <mergeCell ref="Z71:AA71"/>
    <mergeCell ref="AC71:AC74"/>
    <mergeCell ref="AH68:AO68"/>
    <mergeCell ref="I69:J69"/>
    <mergeCell ref="N69:U69"/>
    <mergeCell ref="X69:AB69"/>
    <mergeCell ref="AH69:AO69"/>
    <mergeCell ref="I70:J70"/>
    <mergeCell ref="N70:U70"/>
    <mergeCell ref="X70:AB70"/>
    <mergeCell ref="AD74:AH74"/>
    <mergeCell ref="AJ74:AK74"/>
    <mergeCell ref="AH70:AO70"/>
    <mergeCell ref="L71:L74"/>
    <mergeCell ref="M71:M74"/>
    <mergeCell ref="N71:O74"/>
    <mergeCell ref="B56:D70"/>
    <mergeCell ref="E56:G70"/>
    <mergeCell ref="I62:J62"/>
    <mergeCell ref="N62:U62"/>
    <mergeCell ref="X62:AB62"/>
    <mergeCell ref="E71:E74"/>
    <mergeCell ref="F71:F74"/>
    <mergeCell ref="G71:G74"/>
    <mergeCell ref="I68:J68"/>
    <mergeCell ref="N68:U68"/>
    <mergeCell ref="X68:AB68"/>
    <mergeCell ref="S71:S74"/>
    <mergeCell ref="T71:T74"/>
    <mergeCell ref="R71:R74"/>
    <mergeCell ref="Z74:AA74"/>
    <mergeCell ref="H71:H74"/>
    <mergeCell ref="I71:I74"/>
    <mergeCell ref="J71:K74"/>
    <mergeCell ref="I66:J66"/>
    <mergeCell ref="N66:U66"/>
    <mergeCell ref="X66:AB66"/>
    <mergeCell ref="V71:V74"/>
    <mergeCell ref="W71:W74"/>
    <mergeCell ref="Y72:Y73"/>
    <mergeCell ref="Z72:AA73"/>
    <mergeCell ref="AB72:AB73"/>
    <mergeCell ref="D71:D74"/>
    <mergeCell ref="AC66:AG66"/>
    <mergeCell ref="AH66:AO66"/>
    <mergeCell ref="I67:J67"/>
    <mergeCell ref="N67:U67"/>
    <mergeCell ref="X67:AB67"/>
    <mergeCell ref="AH67:AO67"/>
    <mergeCell ref="I64:J64"/>
    <mergeCell ref="N64:U64"/>
    <mergeCell ref="X64:AB64"/>
    <mergeCell ref="AC64:AG64"/>
    <mergeCell ref="AH64:AO64"/>
    <mergeCell ref="I65:J65"/>
    <mergeCell ref="N65:U65"/>
    <mergeCell ref="X65:AB65"/>
    <mergeCell ref="AC65:AG65"/>
    <mergeCell ref="AH65:AO65"/>
    <mergeCell ref="AD71:AH71"/>
    <mergeCell ref="AJ71:AK71"/>
    <mergeCell ref="AD72:AH72"/>
    <mergeCell ref="AJ72:AK72"/>
    <mergeCell ref="AD73:AH73"/>
    <mergeCell ref="AJ73:AK73"/>
    <mergeCell ref="AC60:AG60"/>
    <mergeCell ref="AH60:AO60"/>
    <mergeCell ref="I61:J61"/>
    <mergeCell ref="N61:U61"/>
    <mergeCell ref="X61:AB61"/>
    <mergeCell ref="AC61:AG61"/>
    <mergeCell ref="AH61:AO61"/>
    <mergeCell ref="AC58:AG58"/>
    <mergeCell ref="AH58:AO58"/>
    <mergeCell ref="I59:J59"/>
    <mergeCell ref="N59:U59"/>
    <mergeCell ref="X59:AB59"/>
    <mergeCell ref="AC59:AG59"/>
    <mergeCell ref="AH59:AO59"/>
    <mergeCell ref="AC56:AG56"/>
    <mergeCell ref="AH56:AO56"/>
    <mergeCell ref="I57:J57"/>
    <mergeCell ref="N57:U57"/>
    <mergeCell ref="X57:AB57"/>
    <mergeCell ref="AC57:AG57"/>
    <mergeCell ref="AH57:AO57"/>
    <mergeCell ref="I56:J56"/>
    <mergeCell ref="K56:K70"/>
    <mergeCell ref="N56:U56"/>
    <mergeCell ref="X56:AB56"/>
    <mergeCell ref="AC62:AG62"/>
    <mergeCell ref="AH62:AO62"/>
    <mergeCell ref="I63:J63"/>
    <mergeCell ref="N63:U63"/>
    <mergeCell ref="X63:AB63"/>
    <mergeCell ref="AC63:AG63"/>
    <mergeCell ref="AH63:AO63"/>
    <mergeCell ref="I58:J58"/>
    <mergeCell ref="N58:U58"/>
    <mergeCell ref="X58:AB58"/>
    <mergeCell ref="I60:J60"/>
    <mergeCell ref="N60:U60"/>
    <mergeCell ref="X60:AB60"/>
    <mergeCell ref="B53:M54"/>
    <mergeCell ref="N53:U54"/>
    <mergeCell ref="X53:AB54"/>
    <mergeCell ref="AC53:AG54"/>
    <mergeCell ref="AH53:AO54"/>
    <mergeCell ref="X45:X48"/>
    <mergeCell ref="V45:V48"/>
    <mergeCell ref="AC45:AC48"/>
    <mergeCell ref="AD45:AH45"/>
    <mergeCell ref="AJ45:AK45"/>
    <mergeCell ref="Y46:Y47"/>
    <mergeCell ref="Z46:AA47"/>
    <mergeCell ref="AB46:AB47"/>
    <mergeCell ref="AD46:AH46"/>
    <mergeCell ref="AJ46:AK46"/>
    <mergeCell ref="AD47:AH47"/>
    <mergeCell ref="AJ47:AK47"/>
    <mergeCell ref="N45:O48"/>
    <mergeCell ref="P45:P48"/>
    <mergeCell ref="Q45:Q48"/>
    <mergeCell ref="U45:U48"/>
    <mergeCell ref="W45:W48"/>
    <mergeCell ref="N51:AO52"/>
    <mergeCell ref="G45:G48"/>
    <mergeCell ref="M45:M48"/>
    <mergeCell ref="I44:J44"/>
    <mergeCell ref="N44:U44"/>
    <mergeCell ref="X44:AB44"/>
    <mergeCell ref="I31:J31"/>
    <mergeCell ref="N31:U31"/>
    <mergeCell ref="X31:AB31"/>
    <mergeCell ref="R45:R48"/>
    <mergeCell ref="S45:S48"/>
    <mergeCell ref="T45:T48"/>
    <mergeCell ref="I40:J40"/>
    <mergeCell ref="N40:U40"/>
    <mergeCell ref="X40:AB40"/>
    <mergeCell ref="B45:B48"/>
    <mergeCell ref="C45:C48"/>
    <mergeCell ref="D45:D48"/>
    <mergeCell ref="E45:E48"/>
    <mergeCell ref="F45:F48"/>
    <mergeCell ref="I42:J42"/>
    <mergeCell ref="N42:U42"/>
    <mergeCell ref="X42:AB42"/>
    <mergeCell ref="AC42:AG42"/>
    <mergeCell ref="I43:J43"/>
    <mergeCell ref="N43:U43"/>
    <mergeCell ref="X43:AB43"/>
    <mergeCell ref="AC43:AG43"/>
    <mergeCell ref="B30:D44"/>
    <mergeCell ref="E30:G44"/>
    <mergeCell ref="Z45:AA45"/>
    <mergeCell ref="Z48:AA48"/>
    <mergeCell ref="I41:J41"/>
    <mergeCell ref="N41:U41"/>
    <mergeCell ref="X41:AB41"/>
    <mergeCell ref="H45:H48"/>
    <mergeCell ref="I45:I48"/>
    <mergeCell ref="J45:K48"/>
    <mergeCell ref="L45:L48"/>
    <mergeCell ref="B27:M28"/>
    <mergeCell ref="N27:U28"/>
    <mergeCell ref="I37:J37"/>
    <mergeCell ref="N37:U37"/>
    <mergeCell ref="X37:AB37"/>
    <mergeCell ref="AC37:AG37"/>
    <mergeCell ref="AH37:AO37"/>
    <mergeCell ref="I38:J38"/>
    <mergeCell ref="N38:U38"/>
    <mergeCell ref="X38:AB38"/>
    <mergeCell ref="AC38:AG38"/>
    <mergeCell ref="AH38:AO38"/>
    <mergeCell ref="AH32:AO32"/>
    <mergeCell ref="I33:J33"/>
    <mergeCell ref="N33:U33"/>
    <mergeCell ref="X33:AB33"/>
    <mergeCell ref="AC33:AG33"/>
    <mergeCell ref="AH33:AO33"/>
    <mergeCell ref="I36:J36"/>
    <mergeCell ref="N36:U36"/>
    <mergeCell ref="X36:AB36"/>
    <mergeCell ref="AC31:AG31"/>
    <mergeCell ref="AC32:AG32"/>
    <mergeCell ref="AH31:AO31"/>
    <mergeCell ref="N18:T18"/>
    <mergeCell ref="U18:W18"/>
    <mergeCell ref="N19:T19"/>
    <mergeCell ref="U19:W19"/>
    <mergeCell ref="X27:AB28"/>
    <mergeCell ref="AC27:AG28"/>
    <mergeCell ref="AH27:AO28"/>
    <mergeCell ref="N21:W21"/>
    <mergeCell ref="N23:V23"/>
    <mergeCell ref="I30:J30"/>
    <mergeCell ref="K30:K44"/>
    <mergeCell ref="N30:U30"/>
    <mergeCell ref="X30:AB30"/>
    <mergeCell ref="I32:J32"/>
    <mergeCell ref="N32:U32"/>
    <mergeCell ref="X32:AB32"/>
    <mergeCell ref="I39:J39"/>
    <mergeCell ref="AH40:AO40"/>
    <mergeCell ref="AC30:AG30"/>
    <mergeCell ref="AH30:AO30"/>
    <mergeCell ref="AC40:AG40"/>
    <mergeCell ref="I34:J34"/>
    <mergeCell ref="N34:U34"/>
    <mergeCell ref="X34:AB34"/>
    <mergeCell ref="AC41:AG41"/>
    <mergeCell ref="AH41:AO41"/>
    <mergeCell ref="I35:J35"/>
    <mergeCell ref="N35:U35"/>
    <mergeCell ref="X35:AB35"/>
    <mergeCell ref="AC35:AG35"/>
    <mergeCell ref="AH35:AO35"/>
    <mergeCell ref="AD48:AH48"/>
    <mergeCell ref="AJ48:AK48"/>
    <mergeCell ref="N22:W22"/>
    <mergeCell ref="N25:AO26"/>
    <mergeCell ref="AC34:AG34"/>
    <mergeCell ref="AH34:AO34"/>
    <mergeCell ref="AC36:AG36"/>
    <mergeCell ref="AH36:AO36"/>
    <mergeCell ref="N39:U39"/>
    <mergeCell ref="X39:AB39"/>
    <mergeCell ref="AC39:AG39"/>
    <mergeCell ref="AH39:AO39"/>
    <mergeCell ref="AC44:AG44"/>
    <mergeCell ref="AH44:AO44"/>
    <mergeCell ref="AH42:AO42"/>
    <mergeCell ref="AH43:AO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Image Spot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Rosco</dc:creator>
  <cp:keywords/>
  <dc:description/>
  <cp:lastModifiedBy>Donna Nicol</cp:lastModifiedBy>
  <cp:revision/>
  <dcterms:created xsi:type="dcterms:W3CDTF">2024-04-23T21:57:25Z</dcterms:created>
  <dcterms:modified xsi:type="dcterms:W3CDTF">2024-05-30T14:12:53Z</dcterms:modified>
  <cp:category/>
  <cp:contentStatus/>
</cp:coreProperties>
</file>